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C:\Users\mbair\Documents\data\uncertainty\"/>
    </mc:Choice>
  </mc:AlternateContent>
  <bookViews>
    <workbookView xWindow="0" yWindow="0" windowWidth="28800" windowHeight="12210"/>
  </bookViews>
  <sheets>
    <sheet name="Unccalc1" sheetId="1" r:id="rId1"/>
    <sheet name="Unccalc2" sheetId="6" state="hidden" r:id="rId2"/>
    <sheet name="Unccalc3" sheetId="8" state="hidden" r:id="rId3"/>
    <sheet name="Historical_Ae" sheetId="12" r:id="rId4"/>
    <sheet name="Historical_mass" sheetId="11" r:id="rId5"/>
    <sheet name="Revision" sheetId="9" r:id="rId6"/>
  </sheets>
  <calcPr calcId="171027"/>
</workbook>
</file>

<file path=xl/calcChain.xml><?xml version="1.0" encoding="utf-8"?>
<calcChain xmlns="http://schemas.openxmlformats.org/spreadsheetml/2006/main">
  <c r="E24" i="1" l="1"/>
  <c r="L2" i="11" l="1"/>
  <c r="K12" i="12"/>
  <c r="L36" i="1" l="1"/>
  <c r="C32" i="1"/>
  <c r="G2" i="1"/>
  <c r="N6" i="1"/>
  <c r="C45" i="1"/>
  <c r="J37" i="1"/>
  <c r="N3" i="1"/>
  <c r="I45" i="1"/>
  <c r="K12" i="11" l="1"/>
  <c r="D10" i="12"/>
  <c r="D11" i="12"/>
  <c r="D12" i="12"/>
  <c r="D13" i="12"/>
  <c r="D14" i="12"/>
  <c r="D15" i="12"/>
  <c r="D16" i="12"/>
  <c r="D17" i="12"/>
  <c r="D9" i="12"/>
  <c r="I26" i="12"/>
  <c r="I25" i="12"/>
  <c r="I24" i="12"/>
  <c r="I23" i="12"/>
  <c r="I22" i="12"/>
  <c r="E17" i="12"/>
  <c r="E16" i="12"/>
  <c r="E15" i="12"/>
  <c r="E14" i="12"/>
  <c r="E13" i="12"/>
  <c r="E12" i="12"/>
  <c r="E11" i="12"/>
  <c r="E10" i="12"/>
  <c r="E9" i="12"/>
  <c r="K2" i="12"/>
  <c r="E2" i="12"/>
  <c r="C2" i="12"/>
  <c r="B2" i="12"/>
  <c r="A2" i="12"/>
  <c r="D2" i="12" s="1"/>
  <c r="I26" i="11"/>
  <c r="I25" i="11"/>
  <c r="I24" i="11"/>
  <c r="I23" i="11"/>
  <c r="I22" i="11"/>
  <c r="E17" i="11"/>
  <c r="E16" i="11"/>
  <c r="E15" i="11"/>
  <c r="E14" i="11"/>
  <c r="E13" i="11"/>
  <c r="E12" i="11"/>
  <c r="E11" i="11"/>
  <c r="E10" i="11"/>
  <c r="E9" i="11"/>
  <c r="K2" i="11"/>
  <c r="E2" i="11"/>
  <c r="C2" i="11"/>
  <c r="B2" i="11"/>
  <c r="A2" i="11"/>
  <c r="D2" i="11" s="1"/>
  <c r="K14" i="12" l="1"/>
  <c r="K14" i="11"/>
  <c r="G2" i="12"/>
  <c r="J2" i="12"/>
  <c r="G2" i="11"/>
  <c r="F9" i="11"/>
  <c r="I9" i="11" s="1"/>
  <c r="J2" i="11"/>
  <c r="F17" i="12"/>
  <c r="I17" i="12" s="1"/>
  <c r="H2" i="12"/>
  <c r="F9" i="12"/>
  <c r="F11" i="12"/>
  <c r="F13" i="12"/>
  <c r="F15" i="12"/>
  <c r="F2" i="12"/>
  <c r="F10" i="12"/>
  <c r="F12" i="12"/>
  <c r="F14" i="12"/>
  <c r="F16" i="12"/>
  <c r="H2" i="11"/>
  <c r="F11" i="11"/>
  <c r="I11" i="11" s="1"/>
  <c r="F13" i="11"/>
  <c r="I13" i="11" s="1"/>
  <c r="F15" i="11"/>
  <c r="I15" i="11" s="1"/>
  <c r="F17" i="11"/>
  <c r="I17" i="11" s="1"/>
  <c r="F2" i="11"/>
  <c r="F10" i="11"/>
  <c r="I10" i="11" s="1"/>
  <c r="F12" i="11"/>
  <c r="I12" i="11" s="1"/>
  <c r="F14" i="11"/>
  <c r="I14" i="11" s="1"/>
  <c r="F16" i="11"/>
  <c r="I16" i="11" s="1"/>
  <c r="K7" i="12" l="1"/>
  <c r="K7" i="11"/>
  <c r="I2" i="11"/>
  <c r="E3" i="11" s="1"/>
  <c r="E4" i="11" s="1"/>
  <c r="I2" i="12"/>
  <c r="H17" i="12"/>
  <c r="E3" i="12"/>
  <c r="E4" i="12" s="1"/>
  <c r="I12" i="12"/>
  <c r="H12" i="12"/>
  <c r="G12" i="12"/>
  <c r="H13" i="12"/>
  <c r="G13" i="12"/>
  <c r="I13" i="12"/>
  <c r="I10" i="12"/>
  <c r="H10" i="12"/>
  <c r="G10" i="12"/>
  <c r="H11" i="12"/>
  <c r="G11" i="12"/>
  <c r="I11" i="12"/>
  <c r="I16" i="12"/>
  <c r="H16" i="12"/>
  <c r="G16" i="12"/>
  <c r="D3" i="12"/>
  <c r="D4" i="12" s="1"/>
  <c r="K9" i="12" s="1"/>
  <c r="G17" i="12"/>
  <c r="I14" i="12"/>
  <c r="H14" i="12"/>
  <c r="G14" i="12"/>
  <c r="H15" i="12"/>
  <c r="G15" i="12"/>
  <c r="I15" i="12"/>
  <c r="I9" i="12"/>
  <c r="H9" i="12"/>
  <c r="G9" i="12"/>
  <c r="H9" i="11"/>
  <c r="D3" i="11"/>
  <c r="H14" i="11"/>
  <c r="H17" i="11"/>
  <c r="G15" i="11"/>
  <c r="G16" i="11"/>
  <c r="H11" i="11"/>
  <c r="G12" i="11"/>
  <c r="H12" i="11"/>
  <c r="H10" i="11"/>
  <c r="G13" i="11"/>
  <c r="K11" i="12"/>
  <c r="K11" i="11"/>
  <c r="H13" i="11" l="1"/>
  <c r="G11" i="11"/>
  <c r="G17" i="11"/>
  <c r="G9" i="11"/>
  <c r="D4" i="11"/>
  <c r="K9" i="11"/>
  <c r="G10" i="11"/>
  <c r="H16" i="11"/>
  <c r="H15" i="11"/>
  <c r="G14" i="11"/>
  <c r="M2" i="1"/>
  <c r="L2" i="1" l="1"/>
  <c r="C18" i="1"/>
  <c r="L20" i="1"/>
  <c r="L19" i="1"/>
  <c r="I10" i="1" l="1"/>
  <c r="I3" i="1"/>
  <c r="B2" i="8" l="1"/>
  <c r="N45" i="8"/>
  <c r="H45" i="8"/>
  <c r="G45" i="8"/>
  <c r="E45" i="8"/>
  <c r="N44" i="8"/>
  <c r="H44" i="8"/>
  <c r="G44" i="8"/>
  <c r="F44" i="8" s="1"/>
  <c r="E44" i="8"/>
  <c r="C44" i="8"/>
  <c r="N43" i="8"/>
  <c r="H43" i="8"/>
  <c r="G43" i="8"/>
  <c r="F43" i="8" s="1"/>
  <c r="E43" i="8"/>
  <c r="N42" i="8"/>
  <c r="H42" i="8"/>
  <c r="G42" i="8"/>
  <c r="F42" i="8" s="1"/>
  <c r="E42" i="8"/>
  <c r="I42" i="8" s="1"/>
  <c r="J42" i="8" s="1"/>
  <c r="C42" i="8"/>
  <c r="N41" i="8"/>
  <c r="H41" i="8"/>
  <c r="G41" i="8"/>
  <c r="F41" i="8" s="1"/>
  <c r="E41" i="8"/>
  <c r="N40" i="8"/>
  <c r="H40" i="8"/>
  <c r="G40" i="8"/>
  <c r="F40" i="8" s="1"/>
  <c r="E40" i="8"/>
  <c r="N38" i="8"/>
  <c r="H38" i="8"/>
  <c r="G38" i="8"/>
  <c r="F38" i="8" s="1"/>
  <c r="E38" i="8"/>
  <c r="C38" i="8"/>
  <c r="N37" i="8"/>
  <c r="H37" i="8"/>
  <c r="G37" i="8"/>
  <c r="F37" i="8" s="1"/>
  <c r="E37" i="8"/>
  <c r="C37" i="8"/>
  <c r="N36" i="8"/>
  <c r="H36" i="8"/>
  <c r="G36" i="8"/>
  <c r="F36" i="8" s="1"/>
  <c r="I36" i="8"/>
  <c r="C36" i="8"/>
  <c r="N35" i="8"/>
  <c r="H35" i="8"/>
  <c r="G35" i="8"/>
  <c r="F35" i="8" s="1"/>
  <c r="E35" i="8"/>
  <c r="C35" i="8"/>
  <c r="N34" i="8"/>
  <c r="H34" i="8"/>
  <c r="G34" i="8"/>
  <c r="F34" i="8" s="1"/>
  <c r="E34" i="8"/>
  <c r="C34" i="8"/>
  <c r="N33" i="8"/>
  <c r="H33" i="8"/>
  <c r="G33" i="8"/>
  <c r="F33" i="8" s="1"/>
  <c r="E33" i="8"/>
  <c r="C33" i="8"/>
  <c r="N32" i="8"/>
  <c r="H32" i="8"/>
  <c r="G32" i="8"/>
  <c r="F32" i="8" s="1"/>
  <c r="E32" i="8"/>
  <c r="C32" i="8"/>
  <c r="N31" i="8"/>
  <c r="H31" i="8"/>
  <c r="G31" i="8"/>
  <c r="F31" i="8" s="1"/>
  <c r="E31" i="8"/>
  <c r="C31" i="8"/>
  <c r="N30" i="8"/>
  <c r="H30" i="8"/>
  <c r="G30" i="8"/>
  <c r="F30" i="8" s="1"/>
  <c r="E30" i="8"/>
  <c r="C30" i="8"/>
  <c r="N29" i="8"/>
  <c r="H29" i="8"/>
  <c r="G29" i="8"/>
  <c r="F29" i="8" s="1"/>
  <c r="E29" i="8"/>
  <c r="C29" i="8"/>
  <c r="N28" i="8"/>
  <c r="H28" i="8"/>
  <c r="G28" i="8"/>
  <c r="F28" i="8" s="1"/>
  <c r="E28" i="8"/>
  <c r="C28" i="8"/>
  <c r="N27" i="8"/>
  <c r="H27" i="8"/>
  <c r="G27" i="8"/>
  <c r="F27" i="8" s="1"/>
  <c r="E27" i="8"/>
  <c r="N26" i="8"/>
  <c r="H26" i="8"/>
  <c r="G26" i="8"/>
  <c r="F26" i="8" s="1"/>
  <c r="E26" i="8"/>
  <c r="N24" i="8"/>
  <c r="H24" i="8"/>
  <c r="G24" i="8"/>
  <c r="F24" i="8" s="1"/>
  <c r="E24" i="8"/>
  <c r="N23" i="8"/>
  <c r="H23" i="8"/>
  <c r="G23" i="8"/>
  <c r="F23" i="8" s="1"/>
  <c r="E23" i="8"/>
  <c r="N22" i="8"/>
  <c r="H22" i="8"/>
  <c r="G22" i="8"/>
  <c r="E22" i="8"/>
  <c r="N21" i="8"/>
  <c r="H21" i="8"/>
  <c r="G21" i="8"/>
  <c r="E21" i="8"/>
  <c r="N20" i="8"/>
  <c r="H20" i="8"/>
  <c r="G20" i="8"/>
  <c r="F20" i="8" s="1"/>
  <c r="E20" i="8"/>
  <c r="C20" i="8"/>
  <c r="N19" i="8"/>
  <c r="H19" i="8"/>
  <c r="G19" i="8"/>
  <c r="F19" i="8" s="1"/>
  <c r="E19" i="8"/>
  <c r="C19" i="8"/>
  <c r="N18" i="8"/>
  <c r="H18" i="8"/>
  <c r="G18" i="8"/>
  <c r="E18" i="8"/>
  <c r="C18" i="8"/>
  <c r="N17" i="8"/>
  <c r="H17" i="8"/>
  <c r="G17" i="8"/>
  <c r="F17" i="8" s="1"/>
  <c r="E17" i="8"/>
  <c r="C17" i="8"/>
  <c r="N16" i="8"/>
  <c r="H16" i="8"/>
  <c r="G16" i="8"/>
  <c r="E16" i="8"/>
  <c r="C16" i="8"/>
  <c r="N15" i="8"/>
  <c r="H15" i="8"/>
  <c r="G15" i="8"/>
  <c r="F15" i="8" s="1"/>
  <c r="E15" i="8"/>
  <c r="C15" i="8"/>
  <c r="B10" i="8"/>
  <c r="L48" i="8" s="1"/>
  <c r="B9" i="8"/>
  <c r="B8" i="8"/>
  <c r="B7" i="8"/>
  <c r="D7" i="8" s="1"/>
  <c r="B6" i="8"/>
  <c r="B4" i="8"/>
  <c r="A4" i="8" s="1"/>
  <c r="B3" i="8"/>
  <c r="L36" i="8" l="1"/>
  <c r="J36" i="8"/>
  <c r="I45" i="8"/>
  <c r="J45" i="8" s="1"/>
  <c r="M45" i="8" s="1"/>
  <c r="O45" i="8" s="1"/>
  <c r="P45" i="8" s="1"/>
  <c r="I16" i="8"/>
  <c r="J16" i="8" s="1"/>
  <c r="I30" i="8"/>
  <c r="J30" i="8" s="1"/>
  <c r="I37" i="8"/>
  <c r="I38" i="8"/>
  <c r="J38" i="8" s="1"/>
  <c r="I18" i="8"/>
  <c r="J18" i="8" s="1"/>
  <c r="I28" i="8"/>
  <c r="J28" i="8" s="1"/>
  <c r="I34" i="8"/>
  <c r="J34" i="8" s="1"/>
  <c r="L20" i="8"/>
  <c r="L19" i="8"/>
  <c r="F18" i="8"/>
  <c r="I32" i="8"/>
  <c r="J32" i="8" s="1"/>
  <c r="I20" i="8"/>
  <c r="J20" i="8" s="1"/>
  <c r="K5" i="1"/>
  <c r="C23" i="8"/>
  <c r="C22" i="8"/>
  <c r="I22" i="8" s="1"/>
  <c r="J22" i="8" s="1"/>
  <c r="M22" i="8" s="1"/>
  <c r="O22" i="8" s="1"/>
  <c r="P22" i="8" s="1"/>
  <c r="C21" i="8"/>
  <c r="I21" i="8" s="1"/>
  <c r="J21" i="8" s="1"/>
  <c r="M21" i="8" s="1"/>
  <c r="O21" i="8" s="1"/>
  <c r="P21" i="8" s="1"/>
  <c r="I23" i="8"/>
  <c r="J23" i="8" s="1"/>
  <c r="M23" i="8" s="1"/>
  <c r="O23" i="8" s="1"/>
  <c r="P23" i="8" s="1"/>
  <c r="I41" i="8"/>
  <c r="J41" i="8" s="1"/>
  <c r="I43" i="8"/>
  <c r="J43" i="8" s="1"/>
  <c r="M43" i="8" s="1"/>
  <c r="O43" i="8" s="1"/>
  <c r="P43" i="8" s="1"/>
  <c r="F16" i="8"/>
  <c r="F21" i="8"/>
  <c r="I29" i="8"/>
  <c r="J29" i="8" s="1"/>
  <c r="I31" i="8"/>
  <c r="J31" i="8" s="1"/>
  <c r="I33" i="8"/>
  <c r="J33" i="8" s="1"/>
  <c r="I35" i="8"/>
  <c r="J35" i="8" s="1"/>
  <c r="I44" i="8"/>
  <c r="J44" i="8" s="1"/>
  <c r="M44" i="8" s="1"/>
  <c r="O44" i="8" s="1"/>
  <c r="P44" i="8" s="1"/>
  <c r="F22" i="8"/>
  <c r="L35" i="8"/>
  <c r="L34" i="8"/>
  <c r="L33" i="8"/>
  <c r="L32" i="8"/>
  <c r="L31" i="8"/>
  <c r="C45" i="8"/>
  <c r="D2" i="8"/>
  <c r="L37" i="8"/>
  <c r="L15" i="8"/>
  <c r="F45" i="8"/>
  <c r="G2" i="8"/>
  <c r="C40" i="8" s="1"/>
  <c r="B5" i="8"/>
  <c r="C26" i="8" s="1"/>
  <c r="L18" i="8"/>
  <c r="M18" i="8" s="1"/>
  <c r="O18" i="8" s="1"/>
  <c r="P18" i="8" s="1"/>
  <c r="I17" i="8"/>
  <c r="J17" i="8" s="1"/>
  <c r="L38" i="8"/>
  <c r="M38" i="8" s="1"/>
  <c r="O38" i="8" s="1"/>
  <c r="P38" i="8" s="1"/>
  <c r="I15" i="8"/>
  <c r="J15" i="8" s="1"/>
  <c r="L17" i="8"/>
  <c r="L16" i="8"/>
  <c r="I19" i="8"/>
  <c r="J19" i="8" s="1"/>
  <c r="J37" i="8"/>
  <c r="L49" i="8"/>
  <c r="C42" i="6"/>
  <c r="C44" i="6"/>
  <c r="E40" i="6"/>
  <c r="E41" i="6"/>
  <c r="E42" i="6"/>
  <c r="E43" i="6"/>
  <c r="E44" i="6"/>
  <c r="E45" i="6"/>
  <c r="G40" i="6"/>
  <c r="F40" i="6" s="1"/>
  <c r="H40" i="6"/>
  <c r="G41" i="6"/>
  <c r="H41" i="6"/>
  <c r="G42" i="6"/>
  <c r="F42" i="6" s="1"/>
  <c r="H42" i="6"/>
  <c r="G43" i="6"/>
  <c r="F43" i="6" s="1"/>
  <c r="H43" i="6"/>
  <c r="G44" i="6"/>
  <c r="F44" i="6" s="1"/>
  <c r="H44" i="6"/>
  <c r="G45" i="6"/>
  <c r="F45" i="6" s="1"/>
  <c r="H45" i="6"/>
  <c r="N40" i="6"/>
  <c r="N41" i="6"/>
  <c r="N42" i="6"/>
  <c r="N43" i="6"/>
  <c r="N44" i="6"/>
  <c r="N45" i="6"/>
  <c r="N26" i="6"/>
  <c r="N27" i="6"/>
  <c r="N28" i="6"/>
  <c r="N29" i="6"/>
  <c r="N30" i="6"/>
  <c r="N31" i="6"/>
  <c r="N32" i="6"/>
  <c r="N33" i="6"/>
  <c r="N34" i="6"/>
  <c r="N35" i="6"/>
  <c r="N36" i="6"/>
  <c r="N37" i="6"/>
  <c r="N38" i="6"/>
  <c r="G26" i="6"/>
  <c r="H26" i="6"/>
  <c r="G27" i="6"/>
  <c r="F27" i="6" s="1"/>
  <c r="H27" i="6"/>
  <c r="G28" i="6"/>
  <c r="F28" i="6" s="1"/>
  <c r="H28" i="6"/>
  <c r="G29" i="6"/>
  <c r="H29" i="6"/>
  <c r="G30" i="6"/>
  <c r="H30" i="6"/>
  <c r="G31" i="6"/>
  <c r="F31" i="6" s="1"/>
  <c r="H31" i="6"/>
  <c r="G32" i="6"/>
  <c r="F32" i="6" s="1"/>
  <c r="H32" i="6"/>
  <c r="G33" i="6"/>
  <c r="F33" i="6" s="1"/>
  <c r="H33" i="6"/>
  <c r="G34" i="6"/>
  <c r="H34" i="6"/>
  <c r="G35" i="6"/>
  <c r="F35" i="6" s="1"/>
  <c r="H35" i="6"/>
  <c r="G36" i="6"/>
  <c r="F36" i="6" s="1"/>
  <c r="H36" i="6"/>
  <c r="G37" i="6"/>
  <c r="H37" i="6"/>
  <c r="G38" i="6"/>
  <c r="H38" i="6"/>
  <c r="C28" i="6"/>
  <c r="C29" i="6"/>
  <c r="C30" i="6"/>
  <c r="C31" i="6"/>
  <c r="C32" i="6"/>
  <c r="C33" i="6"/>
  <c r="C34" i="6"/>
  <c r="C35" i="6"/>
  <c r="C36" i="6"/>
  <c r="C37" i="6"/>
  <c r="C38" i="6"/>
  <c r="B6" i="6"/>
  <c r="B7" i="6"/>
  <c r="D7" i="6" s="1"/>
  <c r="B8" i="6"/>
  <c r="B9" i="6"/>
  <c r="B10" i="6"/>
  <c r="L49" i="6" s="1"/>
  <c r="B3" i="6"/>
  <c r="B4" i="6"/>
  <c r="N15" i="6"/>
  <c r="N16" i="6"/>
  <c r="N17" i="6"/>
  <c r="N18" i="6"/>
  <c r="N19" i="6"/>
  <c r="N20" i="6"/>
  <c r="N21" i="6"/>
  <c r="N22" i="6"/>
  <c r="N23" i="6"/>
  <c r="N24" i="6"/>
  <c r="G15" i="6"/>
  <c r="F15" i="6" s="1"/>
  <c r="H15" i="6"/>
  <c r="G16" i="6"/>
  <c r="H16" i="6"/>
  <c r="G17" i="6"/>
  <c r="F17" i="6" s="1"/>
  <c r="H17" i="6"/>
  <c r="G18" i="6"/>
  <c r="F18" i="6" s="1"/>
  <c r="H18" i="6"/>
  <c r="G19" i="6"/>
  <c r="F19" i="6" s="1"/>
  <c r="H19" i="6"/>
  <c r="G20" i="6"/>
  <c r="H20" i="6"/>
  <c r="G21" i="6"/>
  <c r="H21" i="6"/>
  <c r="G22" i="6"/>
  <c r="H22" i="6"/>
  <c r="G23" i="6"/>
  <c r="H23" i="6"/>
  <c r="G24" i="6"/>
  <c r="H24" i="6"/>
  <c r="E26" i="6"/>
  <c r="E27" i="6"/>
  <c r="E28" i="6"/>
  <c r="E29" i="6"/>
  <c r="E30" i="6"/>
  <c r="E31" i="6"/>
  <c r="E32" i="6"/>
  <c r="E33" i="6"/>
  <c r="E34" i="6"/>
  <c r="E35" i="6"/>
  <c r="E36" i="6"/>
  <c r="I36" i="6" s="1"/>
  <c r="E37" i="6"/>
  <c r="E38" i="6"/>
  <c r="E15" i="6"/>
  <c r="E16" i="6"/>
  <c r="E17" i="6"/>
  <c r="E18" i="6"/>
  <c r="E19" i="6"/>
  <c r="E20" i="6"/>
  <c r="E21" i="6"/>
  <c r="E22" i="6"/>
  <c r="E23" i="6"/>
  <c r="E24" i="6"/>
  <c r="C17" i="6"/>
  <c r="C18" i="6"/>
  <c r="C19" i="6"/>
  <c r="C20" i="6"/>
  <c r="C16" i="6"/>
  <c r="C15" i="6"/>
  <c r="L37" i="6" s="1"/>
  <c r="K3" i="1"/>
  <c r="B2" i="6"/>
  <c r="F41" i="6"/>
  <c r="F37" i="6"/>
  <c r="F29" i="6"/>
  <c r="F26" i="6"/>
  <c r="F24" i="6"/>
  <c r="F22" i="6"/>
  <c r="F21" i="6"/>
  <c r="F20" i="6"/>
  <c r="F16" i="6"/>
  <c r="J36" i="6" l="1"/>
  <c r="I19" i="6"/>
  <c r="I35" i="6"/>
  <c r="J35" i="6" s="1"/>
  <c r="L36" i="6"/>
  <c r="I16" i="6"/>
  <c r="I45" i="6"/>
  <c r="J45" i="6" s="1"/>
  <c r="M45" i="6" s="1"/>
  <c r="O45" i="6" s="1"/>
  <c r="P45" i="6" s="1"/>
  <c r="M19" i="8"/>
  <c r="O19" i="8" s="1"/>
  <c r="P19" i="8" s="1"/>
  <c r="I42" i="6"/>
  <c r="J16" i="6"/>
  <c r="I37" i="6"/>
  <c r="I43" i="6"/>
  <c r="M31" i="8"/>
  <c r="O31" i="8" s="1"/>
  <c r="P31" i="8" s="1"/>
  <c r="L20" i="6"/>
  <c r="L19" i="6"/>
  <c r="M16" i="8"/>
  <c r="O16" i="8" s="1"/>
  <c r="P16" i="8" s="1"/>
  <c r="I15" i="6"/>
  <c r="J15" i="6" s="1"/>
  <c r="M20" i="8"/>
  <c r="O20" i="8" s="1"/>
  <c r="P20" i="8" s="1"/>
  <c r="I18" i="6"/>
  <c r="J18" i="6" s="1"/>
  <c r="L48" i="6"/>
  <c r="I28" i="6"/>
  <c r="J28" i="6" s="1"/>
  <c r="I31" i="6"/>
  <c r="J31" i="6" s="1"/>
  <c r="L34" i="6"/>
  <c r="C22" i="6"/>
  <c r="I22" i="6" s="1"/>
  <c r="J22" i="6" s="1"/>
  <c r="M22" i="6" s="1"/>
  <c r="O22" i="6" s="1"/>
  <c r="P22" i="6" s="1"/>
  <c r="C21" i="6"/>
  <c r="I21" i="6" s="1"/>
  <c r="J21" i="6" s="1"/>
  <c r="M21" i="6" s="1"/>
  <c r="O21" i="6" s="1"/>
  <c r="P21" i="6" s="1"/>
  <c r="C23" i="6"/>
  <c r="L35" i="6"/>
  <c r="L16" i="6"/>
  <c r="L32" i="6"/>
  <c r="L17" i="6"/>
  <c r="J43" i="6"/>
  <c r="M43" i="6" s="1"/>
  <c r="O43" i="6" s="1"/>
  <c r="P43" i="6" s="1"/>
  <c r="I23" i="6"/>
  <c r="J23" i="6" s="1"/>
  <c r="M23" i="6" s="1"/>
  <c r="O23" i="6" s="1"/>
  <c r="P23" i="6" s="1"/>
  <c r="D2" i="6"/>
  <c r="F23" i="6"/>
  <c r="L33" i="6"/>
  <c r="C45" i="6"/>
  <c r="I33" i="6"/>
  <c r="J33" i="6" s="1"/>
  <c r="I29" i="6"/>
  <c r="J29" i="6" s="1"/>
  <c r="L31" i="6"/>
  <c r="I20" i="6"/>
  <c r="J20" i="6" s="1"/>
  <c r="I38" i="6"/>
  <c r="J38" i="6" s="1"/>
  <c r="L38" i="6" s="1"/>
  <c r="M38" i="6" s="1"/>
  <c r="O38" i="6" s="1"/>
  <c r="P38" i="6" s="1"/>
  <c r="I34" i="6"/>
  <c r="J34" i="6" s="1"/>
  <c r="I32" i="6"/>
  <c r="J32" i="6" s="1"/>
  <c r="I30" i="6"/>
  <c r="J30" i="6" s="1"/>
  <c r="I41" i="6"/>
  <c r="J41" i="6" s="1"/>
  <c r="J37" i="6"/>
  <c r="M37" i="6" s="1"/>
  <c r="O37" i="6" s="1"/>
  <c r="P37" i="6" s="1"/>
  <c r="M36" i="8"/>
  <c r="O36" i="8" s="1"/>
  <c r="P36" i="8" s="1"/>
  <c r="M32" i="8"/>
  <c r="O32" i="8" s="1"/>
  <c r="P32" i="8" s="1"/>
  <c r="C27" i="8"/>
  <c r="I27" i="8" s="1"/>
  <c r="J27" i="8" s="1"/>
  <c r="I26" i="8"/>
  <c r="J26" i="8" s="1"/>
  <c r="L42" i="8"/>
  <c r="M42" i="8" s="1"/>
  <c r="O42" i="8" s="1"/>
  <c r="P42" i="8" s="1"/>
  <c r="L41" i="8"/>
  <c r="M41" i="8" s="1"/>
  <c r="O41" i="8" s="1"/>
  <c r="P41" i="8" s="1"/>
  <c r="I40" i="8"/>
  <c r="J40" i="8" s="1"/>
  <c r="M17" i="8"/>
  <c r="O17" i="8" s="1"/>
  <c r="P17" i="8" s="1"/>
  <c r="M33" i="8"/>
  <c r="O33" i="8" s="1"/>
  <c r="P33" i="8" s="1"/>
  <c r="D5" i="8"/>
  <c r="L30" i="8"/>
  <c r="M30" i="8" s="1"/>
  <c r="O30" i="8" s="1"/>
  <c r="P30" i="8" s="1"/>
  <c r="L29" i="8"/>
  <c r="M29" i="8" s="1"/>
  <c r="O29" i="8" s="1"/>
  <c r="P29" i="8" s="1"/>
  <c r="L28" i="8"/>
  <c r="M28" i="8" s="1"/>
  <c r="O28" i="8" s="1"/>
  <c r="P28" i="8" s="1"/>
  <c r="L27" i="8"/>
  <c r="L26" i="8"/>
  <c r="M15" i="8"/>
  <c r="O15" i="8" s="1"/>
  <c r="M34" i="8"/>
  <c r="O34" i="8" s="1"/>
  <c r="P34" i="8" s="1"/>
  <c r="M37" i="8"/>
  <c r="O37" i="8" s="1"/>
  <c r="P37" i="8" s="1"/>
  <c r="M35" i="8"/>
  <c r="O35" i="8" s="1"/>
  <c r="P35" i="8" s="1"/>
  <c r="I44" i="6"/>
  <c r="J44" i="6" s="1"/>
  <c r="M44" i="6" s="1"/>
  <c r="O44" i="6" s="1"/>
  <c r="P44" i="6" s="1"/>
  <c r="J42" i="6"/>
  <c r="F30" i="6"/>
  <c r="F34" i="6"/>
  <c r="F38" i="6"/>
  <c r="B5" i="6"/>
  <c r="L30" i="6" s="1"/>
  <c r="A4" i="6"/>
  <c r="J19" i="6"/>
  <c r="I17" i="6"/>
  <c r="J17" i="6" s="1"/>
  <c r="K4" i="1"/>
  <c r="L15" i="6"/>
  <c r="L18" i="6"/>
  <c r="G2" i="6"/>
  <c r="C21" i="1"/>
  <c r="I21" i="1" s="1"/>
  <c r="J21" i="1" s="1"/>
  <c r="M21" i="1" s="1"/>
  <c r="O21" i="1" s="1"/>
  <c r="P21" i="1" s="1"/>
  <c r="F21" i="1"/>
  <c r="C23" i="1"/>
  <c r="I23" i="1"/>
  <c r="J23" i="1" s="1"/>
  <c r="M23" i="1" s="1"/>
  <c r="O23" i="1" s="1"/>
  <c r="P23" i="1" s="1"/>
  <c r="F23" i="1"/>
  <c r="L35" i="1"/>
  <c r="L33" i="1"/>
  <c r="L34" i="1"/>
  <c r="M36" i="6" l="1"/>
  <c r="O36" i="6" s="1"/>
  <c r="P36" i="6" s="1"/>
  <c r="M16" i="6"/>
  <c r="O16" i="6" s="1"/>
  <c r="P16" i="6" s="1"/>
  <c r="M27" i="8"/>
  <c r="O27" i="8" s="1"/>
  <c r="P27" i="8" s="1"/>
  <c r="M26" i="8"/>
  <c r="P26" i="8" s="1"/>
  <c r="M19" i="6"/>
  <c r="L29" i="6"/>
  <c r="M29" i="6" s="1"/>
  <c r="O29" i="6" s="1"/>
  <c r="P29" i="6" s="1"/>
  <c r="M31" i="6"/>
  <c r="O31" i="6" s="1"/>
  <c r="P31" i="6" s="1"/>
  <c r="M35" i="6"/>
  <c r="O35" i="6" s="1"/>
  <c r="P35" i="6" s="1"/>
  <c r="M17" i="6"/>
  <c r="O17" i="6" s="1"/>
  <c r="P17" i="6" s="1"/>
  <c r="M20" i="6"/>
  <c r="O20" i="6" s="1"/>
  <c r="P20" i="6" s="1"/>
  <c r="M18" i="6"/>
  <c r="O18" i="6" s="1"/>
  <c r="P18" i="6" s="1"/>
  <c r="M34" i="6"/>
  <c r="O34" i="6" s="1"/>
  <c r="P34" i="6" s="1"/>
  <c r="O19" i="6"/>
  <c r="P19" i="6" s="1"/>
  <c r="M32" i="6"/>
  <c r="O32" i="6" s="1"/>
  <c r="P32" i="6" s="1"/>
  <c r="M30" i="6"/>
  <c r="O30" i="6" s="1"/>
  <c r="P30" i="6" s="1"/>
  <c r="M33" i="6"/>
  <c r="O33" i="6" s="1"/>
  <c r="P33" i="6" s="1"/>
  <c r="M15" i="6"/>
  <c r="O15" i="6" s="1"/>
  <c r="P15" i="6" s="1"/>
  <c r="L27" i="6"/>
  <c r="P15" i="8"/>
  <c r="L28" i="6"/>
  <c r="M28" i="6" s="1"/>
  <c r="O28" i="6" s="1"/>
  <c r="P28" i="6" s="1"/>
  <c r="C26" i="6"/>
  <c r="D5" i="6"/>
  <c r="L26" i="6"/>
  <c r="C40" i="6"/>
  <c r="L41" i="6" s="1"/>
  <c r="M41" i="6" s="1"/>
  <c r="O41" i="6" s="1"/>
  <c r="P41" i="6" s="1"/>
  <c r="A4" i="1"/>
  <c r="L37" i="1"/>
  <c r="M37" i="1" s="1"/>
  <c r="O37" i="1" s="1"/>
  <c r="P37" i="1" s="1"/>
  <c r="I29" i="1"/>
  <c r="J29" i="1" s="1"/>
  <c r="I30" i="1"/>
  <c r="J30" i="1" s="1"/>
  <c r="F29" i="1"/>
  <c r="F30" i="1"/>
  <c r="O26" i="8" l="1"/>
  <c r="C40" i="1"/>
  <c r="L42" i="1" s="1"/>
  <c r="C27" i="6"/>
  <c r="I27" i="6" s="1"/>
  <c r="J27" i="6" s="1"/>
  <c r="M27" i="6" s="1"/>
  <c r="O27" i="6" s="1"/>
  <c r="P27" i="6" s="1"/>
  <c r="I26" i="6"/>
  <c r="J26" i="6" s="1"/>
  <c r="M26" i="6" s="1"/>
  <c r="L42" i="6"/>
  <c r="M42" i="6" s="1"/>
  <c r="O42" i="6" s="1"/>
  <c r="P42" i="6" s="1"/>
  <c r="I40" i="6"/>
  <c r="J40" i="6" s="1"/>
  <c r="C41" i="1"/>
  <c r="F37" i="1"/>
  <c r="I37" i="1"/>
  <c r="L32" i="1"/>
  <c r="D7" i="1"/>
  <c r="F45" i="1"/>
  <c r="F44" i="1"/>
  <c r="F43" i="1"/>
  <c r="F42" i="1"/>
  <c r="F41" i="1"/>
  <c r="F40" i="1"/>
  <c r="F38" i="1"/>
  <c r="F36" i="1"/>
  <c r="F35" i="1"/>
  <c r="F34" i="1"/>
  <c r="F33" i="1"/>
  <c r="F32" i="1"/>
  <c r="F31" i="1"/>
  <c r="F28" i="1"/>
  <c r="F27" i="1"/>
  <c r="F26" i="1"/>
  <c r="F24" i="1"/>
  <c r="F17" i="1"/>
  <c r="F18" i="1"/>
  <c r="F19" i="1"/>
  <c r="F20" i="1"/>
  <c r="F22" i="1"/>
  <c r="F16" i="1"/>
  <c r="F15" i="1"/>
  <c r="B5" i="1"/>
  <c r="L31" i="1"/>
  <c r="L30" i="1" l="1"/>
  <c r="M30" i="1" s="1"/>
  <c r="O30" i="1" s="1"/>
  <c r="P30" i="1" s="1"/>
  <c r="L29" i="1"/>
  <c r="M29" i="1" s="1"/>
  <c r="O29" i="1" s="1"/>
  <c r="P29" i="1" s="1"/>
  <c r="C26" i="1"/>
  <c r="C27" i="1" s="1"/>
  <c r="C41" i="8"/>
  <c r="L40" i="8" s="1"/>
  <c r="M40" i="8" s="1"/>
  <c r="O40" i="8" s="1"/>
  <c r="P40" i="8" s="1"/>
  <c r="C41" i="6"/>
  <c r="L40" i="6" s="1"/>
  <c r="L27" i="1"/>
  <c r="L41" i="1"/>
  <c r="M40" i="6"/>
  <c r="O40" i="6" s="1"/>
  <c r="P40" i="6" s="1"/>
  <c r="P26" i="6"/>
  <c r="O26" i="6"/>
  <c r="L28" i="1"/>
  <c r="L26" i="1"/>
  <c r="C22" i="1"/>
  <c r="I22" i="1" s="1"/>
  <c r="J22" i="1" s="1"/>
  <c r="M22" i="1" s="1"/>
  <c r="L49" i="1"/>
  <c r="I44" i="1"/>
  <c r="J44" i="1" s="1"/>
  <c r="I43" i="1"/>
  <c r="I42" i="1"/>
  <c r="I41" i="1"/>
  <c r="I38" i="1"/>
  <c r="J38" i="1" s="1"/>
  <c r="L38" i="1" s="1"/>
  <c r="M38" i="1" s="1"/>
  <c r="I35" i="1"/>
  <c r="J35" i="1" s="1"/>
  <c r="I36" i="1"/>
  <c r="J36" i="1" s="1"/>
  <c r="I34" i="1"/>
  <c r="J34" i="1" s="1"/>
  <c r="I33" i="1"/>
  <c r="I32" i="1"/>
  <c r="J32" i="1" s="1"/>
  <c r="I31" i="1"/>
  <c r="I28" i="1"/>
  <c r="J28" i="1" s="1"/>
  <c r="I17" i="1"/>
  <c r="J17" i="1" s="1"/>
  <c r="I18" i="1"/>
  <c r="I19" i="1"/>
  <c r="J19" i="1" s="1"/>
  <c r="M19" i="1" s="1"/>
  <c r="I20" i="1"/>
  <c r="J20" i="1" s="1"/>
  <c r="M20" i="1" s="1"/>
  <c r="I16" i="1"/>
  <c r="J16" i="1" s="1"/>
  <c r="I15" i="1"/>
  <c r="J15" i="1" s="1"/>
  <c r="J33" i="1" l="1"/>
  <c r="M33" i="1" s="1"/>
  <c r="O33" i="1" s="1"/>
  <c r="P33" i="1" s="1"/>
  <c r="L40" i="1"/>
  <c r="I26" i="1"/>
  <c r="J26" i="1" s="1"/>
  <c r="M36" i="1"/>
  <c r="O36" i="1" s="1"/>
  <c r="P36" i="1" s="1"/>
  <c r="J43" i="1"/>
  <c r="M43" i="1" s="1"/>
  <c r="O43" i="1" s="1"/>
  <c r="P43" i="1" s="1"/>
  <c r="M32" i="1"/>
  <c r="O32" i="1" s="1"/>
  <c r="P32" i="1" s="1"/>
  <c r="M35" i="1"/>
  <c r="O35" i="1" s="1"/>
  <c r="P35" i="1" s="1"/>
  <c r="M34" i="1"/>
  <c r="O34" i="1" s="1"/>
  <c r="P34" i="1" s="1"/>
  <c r="M28" i="1"/>
  <c r="O28" i="1" s="1"/>
  <c r="P28" i="1" s="1"/>
  <c r="J18" i="1"/>
  <c r="D5" i="1"/>
  <c r="M26" i="1" l="1"/>
  <c r="P26" i="1" s="1"/>
  <c r="L15" i="1"/>
  <c r="L18" i="1"/>
  <c r="L16" i="1"/>
  <c r="L17" i="1" l="1"/>
  <c r="M17" i="1" s="1"/>
  <c r="O17" i="1" s="1"/>
  <c r="P17" i="1" s="1"/>
  <c r="L48" i="1"/>
  <c r="C43" i="1"/>
  <c r="D2" i="1"/>
  <c r="M18" i="1"/>
  <c r="O18" i="1" s="1"/>
  <c r="P18" i="1" s="1"/>
  <c r="J45" i="1"/>
  <c r="M45" i="1" s="1"/>
  <c r="J42" i="1"/>
  <c r="J41" i="1"/>
  <c r="O38" i="1"/>
  <c r="P38" i="1" s="1"/>
  <c r="I27" i="1"/>
  <c r="J27" i="1" s="1"/>
  <c r="M27" i="1" s="1"/>
  <c r="C24" i="1"/>
  <c r="O20" i="1"/>
  <c r="P20" i="1" s="1"/>
  <c r="M16" i="1"/>
  <c r="O16" i="1" s="1"/>
  <c r="P16" i="1" s="1"/>
  <c r="C24" i="8" l="1"/>
  <c r="C24" i="6"/>
  <c r="I24" i="1"/>
  <c r="C43" i="8"/>
  <c r="C43" i="6"/>
  <c r="M42" i="1"/>
  <c r="O42" i="1" s="1"/>
  <c r="P42" i="1" s="1"/>
  <c r="I40" i="1"/>
  <c r="J40" i="1" s="1"/>
  <c r="M40" i="1" s="1"/>
  <c r="O40" i="1" s="1"/>
  <c r="P40" i="1" s="1"/>
  <c r="M44" i="1"/>
  <c r="O44" i="1" s="1"/>
  <c r="P44" i="1" s="1"/>
  <c r="J31" i="1"/>
  <c r="M31" i="1" s="1"/>
  <c r="O31" i="1" s="1"/>
  <c r="P31" i="1" s="1"/>
  <c r="L24" i="1"/>
  <c r="M15" i="1"/>
  <c r="O22" i="1"/>
  <c r="P22" i="1" s="1"/>
  <c r="O27" i="1"/>
  <c r="P27" i="1" s="1"/>
  <c r="O45" i="1"/>
  <c r="P45" i="1" s="1"/>
  <c r="O26" i="1"/>
  <c r="O19" i="1"/>
  <c r="L24" i="6" l="1"/>
  <c r="I24" i="6"/>
  <c r="J24" i="6" s="1"/>
  <c r="I24" i="8"/>
  <c r="J24" i="8" s="1"/>
  <c r="L24" i="8"/>
  <c r="M41" i="1"/>
  <c r="O41" i="1" s="1"/>
  <c r="P41" i="1" s="1"/>
  <c r="P19" i="1"/>
  <c r="J24" i="1"/>
  <c r="M24" i="1" s="1"/>
  <c r="O15" i="1"/>
  <c r="P15" i="1" s="1"/>
  <c r="M24" i="8" l="1"/>
  <c r="O24" i="8" s="1"/>
  <c r="M46" i="8" s="1"/>
  <c r="M47" i="8" s="1"/>
  <c r="M24" i="6"/>
  <c r="O24" i="6" s="1"/>
  <c r="O24" i="1"/>
  <c r="P24" i="8" l="1"/>
  <c r="P48" i="8"/>
  <c r="P47" i="8" s="1"/>
  <c r="M49" i="8" s="1"/>
  <c r="P24" i="6"/>
  <c r="M46" i="6"/>
  <c r="M47" i="6" s="1"/>
  <c r="P24" i="1"/>
  <c r="M46" i="1"/>
  <c r="M47" i="1" s="1"/>
  <c r="P48" i="6" l="1"/>
  <c r="P47" i="6" s="1"/>
  <c r="M49" i="6" s="1"/>
  <c r="M48" i="8"/>
  <c r="L5" i="1" s="1"/>
  <c r="P48" i="1"/>
  <c r="P47" i="1" s="1"/>
  <c r="M5" i="1" l="1"/>
  <c r="M48" i="6"/>
  <c r="L4" i="1" s="1"/>
  <c r="M4" i="1" s="1"/>
  <c r="M48" i="1"/>
  <c r="L3" i="1" s="1"/>
  <c r="M49" i="1"/>
  <c r="K8" i="1" l="1"/>
  <c r="M3" i="1"/>
  <c r="L8" i="1"/>
</calcChain>
</file>

<file path=xl/comments1.xml><?xml version="1.0" encoding="utf-8"?>
<comments xmlns="http://schemas.openxmlformats.org/spreadsheetml/2006/main">
  <authors>
    <author>Mike Bair</author>
  </authors>
  <commentList>
    <comment ref="B2" authorId="0" shapeId="0">
      <text>
        <r>
          <rPr>
            <b/>
            <sz val="9"/>
            <color indexed="81"/>
            <rFont val="Tahoma"/>
            <family val="2"/>
          </rPr>
          <t xml:space="preserve">Enter maximum pressure in Pa.  </t>
        </r>
      </text>
    </comment>
    <comment ref="I2" authorId="0" shapeId="0">
      <text>
        <r>
          <rPr>
            <b/>
            <sz val="9"/>
            <color indexed="81"/>
            <rFont val="Tahoma"/>
            <family val="2"/>
          </rPr>
          <t>Enter the minimum pressure in Pa that you will measure with the Piston Gauge</t>
        </r>
      </text>
    </comment>
    <comment ref="B7" authorId="0" shapeId="0">
      <text>
        <r>
          <rPr>
            <b/>
            <sz val="9"/>
            <color indexed="81"/>
            <rFont val="Tahoma"/>
            <family val="2"/>
          </rPr>
          <t>Enter the maximum head height made with the Piston Gauge.</t>
        </r>
      </text>
    </comment>
    <comment ref="B8" authorId="0" shapeId="0">
      <text>
        <r>
          <rPr>
            <b/>
            <sz val="9"/>
            <color indexed="81"/>
            <rFont val="Tahoma"/>
            <family val="2"/>
          </rPr>
          <t>Enter the p-c effective area reference temperature from the calibration certificate.</t>
        </r>
      </text>
    </comment>
    <comment ref="B9" authorId="0" shapeId="0">
      <text>
        <r>
          <rPr>
            <b/>
            <sz val="9"/>
            <color indexed="81"/>
            <rFont val="Tahoma"/>
            <family val="2"/>
          </rPr>
          <t xml:space="preserve">Enter the largest temperature correction made for temperature of the piston-cylinder.  It is fine to be conservative here.  If your lab is 20 to 26 deg C and reference temperature is 23, then this value is 3.
</t>
        </r>
      </text>
    </comment>
    <comment ref="I9" authorId="0" shapeId="0">
      <text>
        <r>
          <rPr>
            <b/>
            <sz val="9"/>
            <color indexed="81"/>
            <rFont val="Tahoma"/>
            <family val="2"/>
          </rPr>
          <t>You can use this psi to Pa converter if you are used to using psi.  For other units you can just use a simple unit converter tool.</t>
        </r>
      </text>
    </comment>
    <comment ref="B10" authorId="0" shapeId="0">
      <text>
        <r>
          <rPr>
            <b/>
            <sz val="9"/>
            <color indexed="81"/>
            <rFont val="Tahoma"/>
            <family val="2"/>
          </rPr>
          <t xml:space="preserve">Enter the confidence for the complete uncertainty analysis.
</t>
        </r>
      </text>
    </comment>
    <comment ref="N12" authorId="0" shapeId="0">
      <text>
        <r>
          <rPr>
            <b/>
            <sz val="9"/>
            <color indexed="81"/>
            <rFont val="Tahoma"/>
            <family val="2"/>
          </rPr>
          <t>Note that entering 30 for these gives a k of 2.  If you are less confident of these uncertainties then reduce these values as appropriate.</t>
        </r>
      </text>
    </comment>
    <comment ref="A13" authorId="0" shapeId="0">
      <text>
        <r>
          <rPr>
            <b/>
            <sz val="9"/>
            <color indexed="81"/>
            <rFont val="Tahoma"/>
            <family val="2"/>
          </rPr>
          <t>The designation at the end of the description is the reference to the PG7000 tech note uncertainty.</t>
        </r>
      </text>
    </comment>
    <comment ref="E13" authorId="0" shapeId="0">
      <text>
        <r>
          <rPr>
            <b/>
            <sz val="9"/>
            <color indexed="81"/>
            <rFont val="Tahoma"/>
            <family val="2"/>
          </rPr>
          <t>Enter the value of the uncertainty for each parameter.  It can be a % of the Approx Value column or a value in the unit of measure for that parameter.  Enter 1 in the column to the right for % of the parameter value or 2 if it is in the parameter's unit.</t>
        </r>
      </text>
    </comment>
    <comment ref="C15" authorId="0" shapeId="0">
      <text>
        <r>
          <rPr>
            <b/>
            <sz val="9"/>
            <color indexed="81"/>
            <rFont val="Tahoma"/>
            <family val="2"/>
          </rPr>
          <t>Enter the effective area value from the calibration certificate in M^2.</t>
        </r>
      </text>
    </comment>
    <comment ref="C16" authorId="0" shapeId="0">
      <text>
        <r>
          <rPr>
            <b/>
            <sz val="9"/>
            <color indexed="81"/>
            <rFont val="Tahoma"/>
            <family val="2"/>
          </rPr>
          <t>Enter the thermal expansion coefficient for the piston, then cylinder below.  If you only know the combination of them you can enter here and use 0 for cylinder.</t>
        </r>
      </text>
    </comment>
    <comment ref="C18" authorId="0" shapeId="0">
      <text>
        <r>
          <rPr>
            <b/>
            <sz val="9"/>
            <color indexed="81"/>
            <rFont val="Tahoma"/>
            <family val="2"/>
          </rPr>
          <t>The reference value plus maximum difference from above is used here.  So it is locked.</t>
        </r>
      </text>
    </comment>
    <comment ref="C19" authorId="0" shapeId="0">
      <text>
        <r>
          <rPr>
            <b/>
            <sz val="9"/>
            <color indexed="81"/>
            <rFont val="Tahoma"/>
            <family val="2"/>
          </rPr>
          <t>Enter the pressure distortion coefficient from the certificate here and if there is a 2nd order in the cell below.  This must be in 1/MPa.  If the report is in another unit use the inverse of the unit conversion.  For the 2nd order coefficient use the inverse of the unit conversion squared.</t>
        </r>
      </text>
    </comment>
    <comment ref="E19" authorId="0" shapeId="0">
      <text>
        <r>
          <rPr>
            <b/>
            <sz val="9"/>
            <color indexed="81"/>
            <rFont val="Tahoma"/>
            <family val="2"/>
          </rPr>
          <t>You should only include this uncertainty if you are using a theoretical deformation coefficient as with many PG7000 Piston Gauges.</t>
        </r>
      </text>
    </comment>
    <comment ref="C21" authorId="0" shapeId="0">
      <text>
        <r>
          <rPr>
            <b/>
            <sz val="9"/>
            <color indexed="81"/>
            <rFont val="Tahoma"/>
            <family val="2"/>
          </rPr>
          <t>Always the pressure here so is just what is entered above.</t>
        </r>
      </text>
    </comment>
    <comment ref="E21" authorId="0" shapeId="0">
      <text>
        <r>
          <rPr>
            <b/>
            <sz val="9"/>
            <color indexed="81"/>
            <rFont val="Tahoma"/>
            <family val="2"/>
          </rPr>
          <t>Enter from the PG uncertainty technical Note</t>
        </r>
      </text>
    </comment>
    <comment ref="E22" authorId="0" shapeId="0">
      <text>
        <r>
          <rPr>
            <b/>
            <sz val="9"/>
            <color indexed="81"/>
            <rFont val="Tahoma"/>
            <family val="2"/>
          </rPr>
          <t>You can enter sensitivity in % of value here.  Just below you can enter the threshold value.  You can find these from the uncertainty technical notes</t>
        </r>
      </text>
    </comment>
    <comment ref="E24" authorId="0" shapeId="0">
      <text>
        <r>
          <rPr>
            <b/>
            <sz val="9"/>
            <color indexed="81"/>
            <rFont val="Tahoma"/>
            <family val="2"/>
          </rPr>
          <t>Drift linked to the Control chart based on the interval assigned and rate of change calculated.</t>
        </r>
      </text>
    </comment>
    <comment ref="E27" authorId="0" shapeId="0">
      <text>
        <r>
          <rPr>
            <b/>
            <sz val="9"/>
            <color indexed="81"/>
            <rFont val="Tahoma"/>
            <family val="2"/>
          </rPr>
          <t>Enter a value for stability here if not included in mass uncertainty above.</t>
        </r>
      </text>
    </comment>
    <comment ref="E28" authorId="0" shapeId="0">
      <text>
        <r>
          <rPr>
            <b/>
            <sz val="9"/>
            <color indexed="81"/>
            <rFont val="Tahoma"/>
            <family val="2"/>
          </rPr>
          <t>Enter uncertainty due to AMH lubrication grease on threads of stem and binary tray from PG9000 technical note.</t>
        </r>
      </text>
    </comment>
    <comment ref="E29" authorId="0" shapeId="0">
      <text>
        <r>
          <rPr>
            <b/>
            <sz val="9"/>
            <color indexed="81"/>
            <rFont val="Tahoma"/>
            <family val="2"/>
          </rPr>
          <t xml:space="preserve">If piston (or cylinder if floating piece) mass uncertainty  is different from main mass enter here. </t>
        </r>
      </text>
    </comment>
    <comment ref="E30" authorId="0" shapeId="0">
      <text>
        <r>
          <rPr>
            <b/>
            <sz val="9"/>
            <color indexed="81"/>
            <rFont val="Tahoma"/>
            <family val="2"/>
          </rPr>
          <t>If bell uncertainty is different from main mass then enter here.</t>
        </r>
      </text>
    </comment>
    <comment ref="E32" authorId="0" shapeId="0">
      <text>
        <r>
          <rPr>
            <b/>
            <sz val="9"/>
            <color indexed="81"/>
            <rFont val="Tahoma"/>
            <family val="2"/>
          </rPr>
          <t xml:space="preserve">If this is grayed out and not used you have selected absolute by vac mode or diff mode.  If you enter zero here when not grayed out then the uncertainty will use the individual uncertainties for the sensors instead of an overall uncertainty in air density.
</t>
        </r>
      </text>
    </comment>
    <comment ref="C36" authorId="0" shapeId="0">
      <text>
        <r>
          <rPr>
            <b/>
            <sz val="9"/>
            <color indexed="81"/>
            <rFont val="Tahoma"/>
            <family val="2"/>
          </rPr>
          <t>You should enter worse case average density here.  The lowest value is the biggest correction and the highest uncertainty.</t>
        </r>
      </text>
    </comment>
    <comment ref="E36" authorId="0" shapeId="0">
      <text>
        <r>
          <rPr>
            <b/>
            <sz val="9"/>
            <color indexed="81"/>
            <rFont val="Tahoma"/>
            <family val="2"/>
          </rPr>
          <t>It is not intuitive but the uncertainty in mass density gets included when in absolute by vac mode, not gauge.</t>
        </r>
      </text>
    </comment>
    <comment ref="E38" authorId="0" shapeId="0">
      <text>
        <r>
          <rPr>
            <b/>
            <sz val="9"/>
            <color indexed="81"/>
            <rFont val="Tahoma"/>
            <family val="2"/>
          </rPr>
          <t>Convert verticality in minutes to degrees to enter here (minutes/60)</t>
        </r>
      </text>
    </comment>
    <comment ref="C44" authorId="0" shapeId="0">
      <text>
        <r>
          <rPr>
            <b/>
            <sz val="9"/>
            <color indexed="81"/>
            <rFont val="Tahoma"/>
            <family val="2"/>
          </rPr>
          <t xml:space="preserve">This is limit.  Enter the highest vacuum pressure that will be used.   If you always wait until vacuum is less than 2 Pa, then enter 2.  </t>
        </r>
      </text>
    </comment>
    <comment ref="C45" authorId="0" shapeId="0">
      <text>
        <r>
          <rPr>
            <b/>
            <sz val="9"/>
            <color indexed="81"/>
            <rFont val="Tahoma"/>
            <family val="2"/>
          </rPr>
          <t xml:space="preserve">What is the contribution of the RPM for diff mode.
</t>
        </r>
      </text>
    </comment>
    <comment ref="E45" authorId="0" shapeId="0">
      <text>
        <r>
          <rPr>
            <b/>
            <sz val="9"/>
            <color indexed="81"/>
            <rFont val="Tahoma"/>
            <family val="2"/>
          </rPr>
          <t>What is the uncertainty contribution of the RPM4 due to its repeatability.</t>
        </r>
      </text>
    </comment>
  </commentList>
</comments>
</file>

<file path=xl/sharedStrings.xml><?xml version="1.0" encoding="utf-8"?>
<sst xmlns="http://schemas.openxmlformats.org/spreadsheetml/2006/main" count="647" uniqueCount="235">
  <si>
    <t>Influence Quantities</t>
  </si>
  <si>
    <t>Pressure Variant Terms</t>
  </si>
  <si>
    <t>Typical</t>
  </si>
  <si>
    <t>Approx.</t>
  </si>
  <si>
    <t>Equiv. Std.</t>
  </si>
  <si>
    <t>Sensitivity</t>
  </si>
  <si>
    <t>Std. Unc.</t>
  </si>
  <si>
    <t>Variance</t>
  </si>
  <si>
    <t>Description</t>
  </si>
  <si>
    <t>Symbol</t>
  </si>
  <si>
    <t>Value</t>
  </si>
  <si>
    <t>Units</t>
  </si>
  <si>
    <r>
      <t>Unc. (1</t>
    </r>
    <r>
      <rPr>
        <b/>
        <sz val="10"/>
        <rFont val="Symbol"/>
        <family val="1"/>
        <charset val="2"/>
      </rPr>
      <t>s</t>
    </r>
    <r>
      <rPr>
        <b/>
        <sz val="10"/>
        <rFont val="Arial"/>
        <family val="2"/>
      </rPr>
      <t>)</t>
    </r>
  </si>
  <si>
    <t>Coefficient</t>
  </si>
  <si>
    <t>Effective Area Terms</t>
  </si>
  <si>
    <t>Effective Area</t>
  </si>
  <si>
    <r>
      <t>A</t>
    </r>
    <r>
      <rPr>
        <vertAlign val="subscript"/>
        <sz val="10"/>
        <rFont val="Arial"/>
        <family val="2"/>
      </rPr>
      <t>o</t>
    </r>
  </si>
  <si>
    <r>
      <t>m</t>
    </r>
    <r>
      <rPr>
        <vertAlign val="superscript"/>
        <sz val="10"/>
        <rFont val="Arial"/>
        <family val="2"/>
      </rPr>
      <t>2</t>
    </r>
  </si>
  <si>
    <t>Piston Thermal Coef.</t>
  </si>
  <si>
    <r>
      <t>a</t>
    </r>
    <r>
      <rPr>
        <vertAlign val="subscript"/>
        <sz val="10"/>
        <rFont val="Arial"/>
        <family val="2"/>
      </rPr>
      <t>P</t>
    </r>
  </si>
  <si>
    <t>Cylinder Thermal Coef.</t>
  </si>
  <si>
    <r>
      <t>a</t>
    </r>
    <r>
      <rPr>
        <vertAlign val="subscript"/>
        <sz val="10"/>
        <rFont val="Arial"/>
        <family val="2"/>
      </rPr>
      <t>C</t>
    </r>
  </si>
  <si>
    <r>
      <t>1</t>
    </r>
    <r>
      <rPr>
        <vertAlign val="superscript"/>
        <sz val="10"/>
        <rFont val="Arial"/>
        <family val="2"/>
      </rPr>
      <t>st</t>
    </r>
    <r>
      <rPr>
        <sz val="11"/>
        <color theme="1"/>
        <rFont val="Calibri"/>
        <family val="2"/>
        <scheme val="minor"/>
      </rPr>
      <t xml:space="preserve"> Order Pressure Coef.</t>
    </r>
  </si>
  <si>
    <r>
      <t>2</t>
    </r>
    <r>
      <rPr>
        <vertAlign val="superscript"/>
        <sz val="10"/>
        <rFont val="Arial"/>
        <family val="2"/>
      </rPr>
      <t>nd</t>
    </r>
    <r>
      <rPr>
        <sz val="11"/>
        <color theme="1"/>
        <rFont val="Calibri"/>
        <family val="2"/>
        <scheme val="minor"/>
      </rPr>
      <t xml:space="preserve"> Order Pressure Coef.</t>
    </r>
  </si>
  <si>
    <r>
      <t>b</t>
    </r>
    <r>
      <rPr>
        <vertAlign val="subscript"/>
        <sz val="10"/>
        <rFont val="Arial"/>
        <family val="2"/>
      </rPr>
      <t>2</t>
    </r>
  </si>
  <si>
    <r>
      <t>A</t>
    </r>
    <r>
      <rPr>
        <vertAlign val="subscript"/>
        <sz val="10"/>
        <rFont val="Arial"/>
        <family val="2"/>
      </rPr>
      <t>o</t>
    </r>
    <r>
      <rPr>
        <sz val="11"/>
        <color theme="1"/>
        <rFont val="Calibri"/>
        <family val="2"/>
        <scheme val="minor"/>
      </rPr>
      <t xml:space="preserve"> Stability (2 yrs)</t>
    </r>
  </si>
  <si>
    <t>Force Terms</t>
  </si>
  <si>
    <t>Mass Load</t>
  </si>
  <si>
    <t>M</t>
  </si>
  <si>
    <t>kg</t>
  </si>
  <si>
    <t>Local Gravity</t>
  </si>
  <si>
    <r>
      <t>g</t>
    </r>
    <r>
      <rPr>
        <vertAlign val="subscript"/>
        <sz val="10"/>
        <rFont val="Arial"/>
        <family val="2"/>
      </rPr>
      <t>L</t>
    </r>
  </si>
  <si>
    <r>
      <t>m/sec</t>
    </r>
    <r>
      <rPr>
        <vertAlign val="superscript"/>
        <sz val="10"/>
        <rFont val="Arial"/>
        <family val="2"/>
      </rPr>
      <t>2</t>
    </r>
  </si>
  <si>
    <t>Air Density</t>
  </si>
  <si>
    <r>
      <t>r</t>
    </r>
    <r>
      <rPr>
        <vertAlign val="subscript"/>
        <sz val="10"/>
        <rFont val="Arial"/>
        <family val="2"/>
      </rPr>
      <t>AIR</t>
    </r>
  </si>
  <si>
    <r>
      <t>kg/m</t>
    </r>
    <r>
      <rPr>
        <vertAlign val="superscript"/>
        <sz val="10"/>
        <rFont val="Arial"/>
        <family val="2"/>
      </rPr>
      <t>3</t>
    </r>
  </si>
  <si>
    <r>
      <t>r</t>
    </r>
    <r>
      <rPr>
        <vertAlign val="subscript"/>
        <sz val="10"/>
        <rFont val="Arial"/>
        <family val="2"/>
      </rPr>
      <t>M</t>
    </r>
  </si>
  <si>
    <r>
      <t>Verticality (</t>
    </r>
    <r>
      <rPr>
        <sz val="10"/>
        <rFont val="Arial"/>
        <family val="2"/>
      </rPr>
      <t>&lt;</t>
    </r>
    <r>
      <rPr>
        <sz val="11"/>
        <color theme="1"/>
        <rFont val="Calibri"/>
        <family val="2"/>
        <scheme val="minor"/>
      </rPr>
      <t>0.5 deg.)</t>
    </r>
  </si>
  <si>
    <t>q</t>
  </si>
  <si>
    <t>deg.</t>
  </si>
  <si>
    <t>System Terms</t>
  </si>
  <si>
    <t>Density of Fluid</t>
  </si>
  <si>
    <r>
      <t>r</t>
    </r>
    <r>
      <rPr>
        <vertAlign val="subscript"/>
        <sz val="10"/>
        <rFont val="Arial"/>
        <family val="2"/>
      </rPr>
      <t>FLUID</t>
    </r>
  </si>
  <si>
    <t>Fluid Head Height</t>
  </si>
  <si>
    <t>h</t>
  </si>
  <si>
    <t>m</t>
  </si>
  <si>
    <t>Float Position</t>
  </si>
  <si>
    <t>fpi</t>
  </si>
  <si>
    <t>Reference Pressure</t>
  </si>
  <si>
    <r>
      <t>P</t>
    </r>
    <r>
      <rPr>
        <vertAlign val="subscript"/>
        <sz val="10"/>
        <rFont val="Arial"/>
        <family val="2"/>
      </rPr>
      <t>REF</t>
    </r>
  </si>
  <si>
    <t>Pa</t>
  </si>
  <si>
    <t>Combined Variance:</t>
  </si>
  <si>
    <t>Combined Uncertainty (k=1):</t>
  </si>
  <si>
    <t>Pressure Value</t>
  </si>
  <si>
    <t>Expanded</t>
  </si>
  <si>
    <t>Limits</t>
  </si>
  <si>
    <t>DOF</t>
  </si>
  <si>
    <t>-----</t>
  </si>
  <si>
    <t>Piston-Cylinder Temp.</t>
  </si>
  <si>
    <t>T</t>
  </si>
  <si>
    <t>°C</t>
  </si>
  <si>
    <r>
      <rPr>
        <sz val="11"/>
        <color theme="1"/>
        <rFont val="Calibri"/>
        <family val="2"/>
        <scheme val="minor"/>
      </rPr>
      <t>°C</t>
    </r>
    <r>
      <rPr>
        <vertAlign val="superscript"/>
        <sz val="10"/>
        <rFont val="Arial"/>
        <family val="2"/>
      </rPr>
      <t>-1</t>
    </r>
  </si>
  <si>
    <t>Performance</t>
  </si>
  <si>
    <t>Mode</t>
  </si>
  <si>
    <t>1 for ABS, 2 for Gauge, 3 for ABS by ATM</t>
  </si>
  <si>
    <t>Barometer</t>
  </si>
  <si>
    <r>
      <t>P</t>
    </r>
    <r>
      <rPr>
        <vertAlign val="subscript"/>
        <sz val="11"/>
        <color theme="1"/>
        <rFont val="Calibri"/>
        <family val="2"/>
        <scheme val="minor"/>
      </rPr>
      <t>baro</t>
    </r>
  </si>
  <si>
    <t>Influence</t>
  </si>
  <si>
    <t>Influence Uncertainties</t>
  </si>
  <si>
    <t>Ambient Pressure</t>
  </si>
  <si>
    <t>Ambient Temperature</t>
  </si>
  <si>
    <t>Ambient Humidity</t>
  </si>
  <si>
    <t>psi</t>
  </si>
  <si>
    <t>ppm</t>
  </si>
  <si>
    <t>(2σ, PPM)</t>
  </si>
  <si>
    <r>
      <t>P</t>
    </r>
    <r>
      <rPr>
        <vertAlign val="subscript"/>
        <sz val="12"/>
        <rFont val="Calibri"/>
        <family val="2"/>
        <scheme val="minor"/>
      </rPr>
      <t>AMB</t>
    </r>
  </si>
  <si>
    <r>
      <t>T</t>
    </r>
    <r>
      <rPr>
        <vertAlign val="subscript"/>
        <sz val="12"/>
        <rFont val="Calibri"/>
        <family val="2"/>
        <scheme val="minor"/>
      </rPr>
      <t>AMB</t>
    </r>
  </si>
  <si>
    <r>
      <t>H</t>
    </r>
    <r>
      <rPr>
        <vertAlign val="subscript"/>
        <sz val="12"/>
        <rFont val="Calibri"/>
        <family val="2"/>
        <scheme val="minor"/>
      </rPr>
      <t>AMB</t>
    </r>
  </si>
  <si>
    <r>
      <t>(T</t>
    </r>
    <r>
      <rPr>
        <vertAlign val="subscript"/>
        <sz val="10"/>
        <rFont val="Arial"/>
        <family val="2"/>
      </rPr>
      <t>MAX</t>
    </r>
    <r>
      <rPr>
        <sz val="11"/>
        <color theme="1"/>
        <rFont val="Calibri"/>
        <family val="2"/>
        <scheme val="minor"/>
      </rPr>
      <t xml:space="preserve"> - T</t>
    </r>
    <r>
      <rPr>
        <vertAlign val="subscript"/>
        <sz val="9.1"/>
        <rFont val="Arial"/>
        <family val="2"/>
      </rPr>
      <t>REF</t>
    </r>
    <r>
      <rPr>
        <sz val="9.1"/>
        <rFont val="Arial"/>
        <family val="2"/>
      </rPr>
      <t>) x P</t>
    </r>
  </si>
  <si>
    <t>Reference Temperature</t>
  </si>
  <si>
    <t>P-C Temperature Max Limit</t>
  </si>
  <si>
    <t>Confidence</t>
  </si>
  <si>
    <t>%</t>
  </si>
  <si>
    <r>
      <t>(α</t>
    </r>
    <r>
      <rPr>
        <vertAlign val="subscript"/>
        <sz val="11"/>
        <color theme="1"/>
        <rFont val="Calibri"/>
        <family val="2"/>
        <scheme val="minor"/>
      </rPr>
      <t>p</t>
    </r>
    <r>
      <rPr>
        <sz val="11"/>
        <color theme="1"/>
        <rFont val="Calibri"/>
        <family val="2"/>
        <scheme val="minor"/>
      </rPr>
      <t>+α</t>
    </r>
    <r>
      <rPr>
        <vertAlign val="subscript"/>
        <sz val="11"/>
        <color theme="1"/>
        <rFont val="Calibri"/>
        <family val="2"/>
        <scheme val="minor"/>
      </rPr>
      <t>c</t>
    </r>
    <r>
      <rPr>
        <sz val="11"/>
        <color theme="1"/>
        <rFont val="Calibri"/>
        <family val="2"/>
        <scheme val="minor"/>
      </rPr>
      <t>) x P</t>
    </r>
  </si>
  <si>
    <t>(Pa)²</t>
  </si>
  <si>
    <t xml:space="preserve">(Pa) </t>
  </si>
  <si>
    <t>Mass Load AVG Density</t>
  </si>
  <si>
    <r>
      <t>A</t>
    </r>
    <r>
      <rPr>
        <vertAlign val="subscript"/>
        <sz val="10"/>
        <rFont val="Arial"/>
        <family val="2"/>
      </rPr>
      <t>o</t>
    </r>
    <r>
      <rPr>
        <vertAlign val="superscript"/>
        <sz val="10"/>
        <rFont val="Arial"/>
        <family val="2"/>
      </rPr>
      <t xml:space="preserve">-1 </t>
    </r>
    <r>
      <rPr>
        <sz val="10"/>
        <rFont val="Arial"/>
        <family val="2"/>
      </rPr>
      <t>x P</t>
    </r>
  </si>
  <si>
    <r>
      <t>Ao</t>
    </r>
    <r>
      <rPr>
        <vertAlign val="superscript"/>
        <sz val="11"/>
        <color theme="1"/>
        <rFont val="Calibri"/>
        <family val="2"/>
        <scheme val="minor"/>
      </rPr>
      <t>-1</t>
    </r>
    <r>
      <rPr>
        <sz val="11"/>
        <color theme="1"/>
        <rFont val="Calibri"/>
        <family val="2"/>
        <scheme val="minor"/>
      </rPr>
      <t xml:space="preserve"> x P</t>
    </r>
  </si>
  <si>
    <r>
      <t>g</t>
    </r>
    <r>
      <rPr>
        <vertAlign val="subscript"/>
        <sz val="10"/>
        <rFont val="Arial"/>
        <family val="2"/>
      </rPr>
      <t>L</t>
    </r>
    <r>
      <rPr>
        <vertAlign val="superscript"/>
        <sz val="10"/>
        <rFont val="Arial"/>
        <family val="2"/>
      </rPr>
      <t xml:space="preserve">-1 </t>
    </r>
    <r>
      <rPr>
        <sz val="10"/>
        <rFont val="Arial"/>
        <family val="2"/>
      </rPr>
      <t>x P</t>
    </r>
  </si>
  <si>
    <r>
      <t>r</t>
    </r>
    <r>
      <rPr>
        <vertAlign val="subscript"/>
        <sz val="10"/>
        <rFont val="Arial"/>
        <family val="2"/>
      </rPr>
      <t>M</t>
    </r>
    <r>
      <rPr>
        <vertAlign val="superscript"/>
        <sz val="10"/>
        <rFont val="Arial"/>
        <family val="2"/>
      </rPr>
      <t xml:space="preserve">-1 </t>
    </r>
    <r>
      <rPr>
        <sz val="10"/>
        <rFont val="Arial"/>
        <family val="2"/>
      </rPr>
      <t>x P</t>
    </r>
  </si>
  <si>
    <t>°C   What temperature is the effective area given</t>
  </si>
  <si>
    <t>Mass Stability</t>
  </si>
  <si>
    <r>
      <t>r</t>
    </r>
    <r>
      <rPr>
        <vertAlign val="subscript"/>
        <sz val="10"/>
        <rFont val="Arial"/>
        <family val="2"/>
      </rPr>
      <t>AIR</t>
    </r>
    <r>
      <rPr>
        <sz val="10"/>
        <rFont val="Arial"/>
        <family val="2"/>
      </rPr>
      <t>/</t>
    </r>
    <r>
      <rPr>
        <sz val="12"/>
        <rFont val="Symbol"/>
        <family val="1"/>
        <charset val="2"/>
      </rPr>
      <t>r</t>
    </r>
    <r>
      <rPr>
        <vertAlign val="subscript"/>
        <sz val="10"/>
        <rFont val="Arial"/>
        <family val="2"/>
      </rPr>
      <t>M</t>
    </r>
    <r>
      <rPr>
        <vertAlign val="superscript"/>
        <sz val="10"/>
        <rFont val="Arial"/>
        <family val="2"/>
      </rPr>
      <t xml:space="preserve">2 </t>
    </r>
    <r>
      <rPr>
        <sz val="10"/>
        <rFont val="Arial"/>
        <family val="2"/>
      </rPr>
      <t>x P</t>
    </r>
  </si>
  <si>
    <t>AMH Lubrication</t>
  </si>
  <si>
    <t>KN (mass to pressure)</t>
  </si>
  <si>
    <t>Pa/kg</t>
  </si>
  <si>
    <t>psi/kg</t>
  </si>
  <si>
    <r>
      <rPr>
        <sz val="11"/>
        <color theme="1"/>
        <rFont val="Symbol"/>
        <family val="1"/>
        <charset val="2"/>
      </rPr>
      <t>l,</t>
    </r>
    <r>
      <rPr>
        <sz val="11"/>
        <color theme="1"/>
        <rFont val="Calibri"/>
        <family val="2"/>
        <scheme val="minor"/>
      </rPr>
      <t>b</t>
    </r>
    <r>
      <rPr>
        <vertAlign val="subscript"/>
        <sz val="10"/>
        <rFont val="Arial"/>
        <family val="2"/>
      </rPr>
      <t>1</t>
    </r>
  </si>
  <si>
    <t>k</t>
  </si>
  <si>
    <t>Coverage</t>
  </si>
  <si>
    <t>Distribution</t>
  </si>
  <si>
    <t>1=normal, 2=rectangular</t>
  </si>
  <si>
    <t>P</t>
  </si>
  <si>
    <t>Type Value</t>
  </si>
  <si>
    <t>Uncertainty Value</t>
  </si>
  <si>
    <t>1=relative(%), 2=constant</t>
  </si>
  <si>
    <t>Uncertainty</t>
  </si>
  <si>
    <t>°C   What is the maximum difference in room temperature and reference temperature</t>
  </si>
  <si>
    <t>1 - COSΦ x P</t>
  </si>
  <si>
    <t>Maximum Head Height</t>
  </si>
  <si>
    <t>inches</t>
  </si>
  <si>
    <t>%RH</t>
  </si>
  <si>
    <t>Surface Tension</t>
  </si>
  <si>
    <t>τ</t>
  </si>
  <si>
    <t>N/m</t>
  </si>
  <si>
    <t>1 for gas, 2 for oil, 3 for water</t>
  </si>
  <si>
    <t>Oil Density</t>
  </si>
  <si>
    <r>
      <t>kg/m</t>
    </r>
    <r>
      <rPr>
        <vertAlign val="superscript"/>
        <sz val="11"/>
        <color theme="1"/>
        <rFont val="Calibri"/>
        <family val="2"/>
        <scheme val="minor"/>
      </rPr>
      <t>3</t>
    </r>
  </si>
  <si>
    <t>Either % or value in unit  2σ or 95%</t>
  </si>
  <si>
    <r>
      <t>A</t>
    </r>
    <r>
      <rPr>
        <vertAlign val="subscript"/>
        <sz val="10"/>
        <rFont val="Arial"/>
        <family val="2"/>
      </rPr>
      <t>o</t>
    </r>
    <r>
      <rPr>
        <sz val="10"/>
        <rFont val="Arial"/>
        <family val="2"/>
      </rPr>
      <t>h/M x P</t>
    </r>
  </si>
  <si>
    <t>Entry Field</t>
  </si>
  <si>
    <t>Not Used</t>
  </si>
  <si>
    <t>Password</t>
  </si>
  <si>
    <t>Fluke</t>
  </si>
  <si>
    <t>System Uncertainty</t>
  </si>
  <si>
    <r>
      <t>πD/A</t>
    </r>
    <r>
      <rPr>
        <vertAlign val="subscript"/>
        <sz val="11"/>
        <rFont val="Calibri"/>
        <family val="2"/>
        <scheme val="minor"/>
      </rPr>
      <t>0</t>
    </r>
  </si>
  <si>
    <r>
      <t>P</t>
    </r>
    <r>
      <rPr>
        <vertAlign val="subscript"/>
        <sz val="11"/>
        <color theme="1"/>
        <rFont val="Calibri"/>
        <family val="2"/>
        <scheme val="minor"/>
      </rPr>
      <t>ABS</t>
    </r>
  </si>
  <si>
    <t>Piston Mass</t>
  </si>
  <si>
    <t>Bell Mass</t>
  </si>
  <si>
    <r>
      <t>g(</t>
    </r>
    <r>
      <rPr>
        <sz val="11"/>
        <color theme="1"/>
        <rFont val="Symbol"/>
        <family val="1"/>
        <charset val="2"/>
      </rPr>
      <t>r</t>
    </r>
    <r>
      <rPr>
        <vertAlign val="subscript"/>
        <sz val="9.9"/>
        <color theme="1"/>
        <rFont val="Calibri"/>
        <family val="2"/>
      </rPr>
      <t>FLUID</t>
    </r>
    <r>
      <rPr>
        <sz val="9.9"/>
        <color theme="1"/>
        <rFont val="Calibri"/>
        <family val="2"/>
      </rPr>
      <t>-</t>
    </r>
    <r>
      <rPr>
        <sz val="9.9"/>
        <color theme="1"/>
        <rFont val="Symbol"/>
        <family val="1"/>
        <charset val="2"/>
      </rPr>
      <t>r</t>
    </r>
    <r>
      <rPr>
        <vertAlign val="subscript"/>
        <sz val="8.9"/>
        <color theme="1"/>
        <rFont val="Calibri"/>
        <family val="2"/>
      </rPr>
      <t>AIR</t>
    </r>
    <r>
      <rPr>
        <sz val="8.9"/>
        <color theme="1"/>
        <rFont val="Calibri"/>
        <family val="2"/>
      </rPr>
      <t>)</t>
    </r>
  </si>
  <si>
    <r>
      <t xml:space="preserve">1.5E-9 </t>
    </r>
    <r>
      <rPr>
        <sz val="11"/>
        <rFont val="Calibri"/>
        <family val="2"/>
        <scheme val="minor"/>
      </rPr>
      <t>x P</t>
    </r>
  </si>
  <si>
    <t>5.5E-7 x P</t>
  </si>
  <si>
    <t>1.2E-8 x P</t>
  </si>
  <si>
    <t>Sensitivity Limit</t>
  </si>
  <si>
    <t>Linearity</t>
  </si>
  <si>
    <t>Date</t>
  </si>
  <si>
    <t>Mass UNC</t>
  </si>
  <si>
    <t>95% (k=2)</t>
  </si>
  <si>
    <t>[g]</t>
  </si>
  <si>
    <t>Due Date</t>
  </si>
  <si>
    <t>PPM</t>
  </si>
  <si>
    <t>Max</t>
  </si>
  <si>
    <t>Mid</t>
  </si>
  <si>
    <t>Min</t>
  </si>
  <si>
    <t>Pressure (Pa)</t>
  </si>
  <si>
    <t>Enter Min P (Pa)</t>
  </si>
  <si>
    <t>Max Pressure Value</t>
  </si>
  <si>
    <t>Revision Number</t>
  </si>
  <si>
    <t>Comments</t>
  </si>
  <si>
    <t>Author</t>
  </si>
  <si>
    <t>Function</t>
  </si>
  <si>
    <t>Initial creation of spreadsheet.</t>
  </si>
  <si>
    <t>Metrologist</t>
  </si>
  <si>
    <t xml:space="preserve"> </t>
  </si>
  <si>
    <t>REVISION LOG:  Piston Gauge Uncertainty Analysis</t>
  </si>
  <si>
    <t>Michael Bair</t>
  </si>
  <si>
    <t xml:space="preserve">Days </t>
  </si>
  <si>
    <t>key</t>
  </si>
  <si>
    <t>psi to Pa conv.</t>
  </si>
  <si>
    <r>
      <t>A</t>
    </r>
    <r>
      <rPr>
        <vertAlign val="subscript"/>
        <sz val="10"/>
        <rFont val="Arial"/>
        <family val="2"/>
      </rPr>
      <t>E(Tref,0)</t>
    </r>
  </si>
  <si>
    <t>1 for gas, 2 for oil, 3 for water (must be 1 if mode is 1)</t>
  </si>
  <si>
    <t>°C   What is the maximum difference in p-c temperature and reference temperature</t>
  </si>
  <si>
    <r>
      <t>P</t>
    </r>
    <r>
      <rPr>
        <vertAlign val="superscript"/>
        <sz val="11"/>
        <color theme="1"/>
        <rFont val="Calibri"/>
        <family val="2"/>
        <scheme val="minor"/>
      </rPr>
      <t>2</t>
    </r>
  </si>
  <si>
    <r>
      <t>P</t>
    </r>
    <r>
      <rPr>
        <vertAlign val="superscript"/>
        <sz val="11"/>
        <color theme="1"/>
        <rFont val="Calibri"/>
        <family val="2"/>
        <scheme val="minor"/>
      </rPr>
      <t>3</t>
    </r>
  </si>
  <si>
    <t>gl/Ae</t>
  </si>
  <si>
    <r>
      <t>MPa</t>
    </r>
    <r>
      <rPr>
        <vertAlign val="superscript"/>
        <sz val="10"/>
        <rFont val="Arial"/>
        <family val="2"/>
      </rPr>
      <t>-1</t>
    </r>
  </si>
  <si>
    <r>
      <t>MPa</t>
    </r>
    <r>
      <rPr>
        <vertAlign val="superscript"/>
        <sz val="10"/>
        <rFont val="Arial"/>
        <family val="2"/>
      </rPr>
      <t>-2</t>
    </r>
  </si>
  <si>
    <t xml:space="preserve">This Spreadsheet is provided at no cost and was developed primarily as a learning tool.  Fluke Corporation does not guarantee the correctness of the calculations here and does not claim any responsibility for its use.  For questions or comments on this spreadsheet please contact Mike Bair at mike.bair@flukecal.com.  </t>
  </si>
  <si>
    <t>Sum Square of Calibration Time</t>
  </si>
  <si>
    <t>Sum of calibration time squared</t>
  </si>
  <si>
    <t>Number of Cals</t>
  </si>
  <si>
    <t>Computation of Sxx</t>
  </si>
  <si>
    <t>Mean calibration time</t>
  </si>
  <si>
    <t>Number of days from last Cal</t>
  </si>
  <si>
    <t>Days Until Due Date</t>
  </si>
  <si>
    <t>Standard Error of the Fit</t>
  </si>
  <si>
    <t>Y intercept</t>
  </si>
  <si>
    <t>Pred. Value</t>
  </si>
  <si>
    <t>Upper bound</t>
  </si>
  <si>
    <t>Lwr bound</t>
  </si>
  <si>
    <t>Confidence based on todays date and next cal date</t>
  </si>
  <si>
    <t>Aging Rate/ grams/day</t>
  </si>
  <si>
    <t>Fixed the format of the Control charts</t>
  </si>
  <si>
    <t>Calibration Interval (mos)</t>
  </si>
  <si>
    <t>Mass Calibration History</t>
  </si>
  <si>
    <t>Mass</t>
  </si>
  <si>
    <t>Predicted - Actual</t>
  </si>
  <si>
    <t>[kg]</t>
  </si>
  <si>
    <t>[PPM]</t>
  </si>
  <si>
    <t>Forecast Uncertainty</t>
  </si>
  <si>
    <t>[m²]</t>
  </si>
  <si>
    <t>Ae UNC</t>
  </si>
  <si>
    <t>grams</t>
  </si>
  <si>
    <t>Difference in Forecast and last</t>
  </si>
  <si>
    <t>Forecast Ae Value Next Cal</t>
  </si>
  <si>
    <t>Forecast Mass Value Next Cal</t>
  </si>
  <si>
    <t>Model/SN</t>
  </si>
  <si>
    <t>1 for ABS, 2 for Gauge, 3 for ABS by ATM, 4 DIFF mode</t>
  </si>
  <si>
    <t>Diff RPM4 RPT</t>
  </si>
  <si>
    <t>Piston or Cylinder Mass</t>
  </si>
  <si>
    <t>Added Diff mode and Description Field</t>
  </si>
  <si>
    <t>Aging Rate/ Ae/day</t>
  </si>
  <si>
    <t>Stability rate based on interval in %</t>
  </si>
  <si>
    <t>Stability rate based on interval in grams</t>
  </si>
  <si>
    <t>Linked stability of piston Ae and mass to control charts</t>
  </si>
  <si>
    <t>Mass Load (B1)</t>
  </si>
  <si>
    <t>Local Gravity (B2)</t>
  </si>
  <si>
    <t>Air Density (B3)</t>
  </si>
  <si>
    <t>Mass Load AVG Density (B4)</t>
  </si>
  <si>
    <t>Fluid Head Height (B5)</t>
  </si>
  <si>
    <t>Piston-Cylinder Temp. (B10)</t>
  </si>
  <si>
    <r>
      <t>Verticality (</t>
    </r>
    <r>
      <rPr>
        <sz val="10"/>
        <rFont val="Arial"/>
        <family val="2"/>
      </rPr>
      <t>&lt;</t>
    </r>
    <r>
      <rPr>
        <sz val="11"/>
        <color theme="1"/>
        <rFont val="Calibri"/>
        <family val="2"/>
        <scheme val="minor"/>
      </rPr>
      <t>0.5 deg.) (B11)</t>
    </r>
  </si>
  <si>
    <t>Effective Area (B12)</t>
  </si>
  <si>
    <t>Piston Thermal Coef. (B16)</t>
  </si>
  <si>
    <t>Cylinder Thermal Coef. (B16)</t>
  </si>
  <si>
    <t>Linearity (B14)</t>
  </si>
  <si>
    <r>
      <t>1</t>
    </r>
    <r>
      <rPr>
        <vertAlign val="superscript"/>
        <sz val="10"/>
        <rFont val="Arial"/>
        <family val="2"/>
      </rPr>
      <t>st</t>
    </r>
    <r>
      <rPr>
        <sz val="11"/>
        <color theme="1"/>
        <rFont val="Calibri"/>
        <family val="2"/>
        <scheme val="minor"/>
      </rPr>
      <t xml:space="preserve"> Order Pressure Coef. (B15)</t>
    </r>
  </si>
  <si>
    <r>
      <t>A</t>
    </r>
    <r>
      <rPr>
        <vertAlign val="subscript"/>
        <sz val="10"/>
        <rFont val="Arial"/>
        <family val="2"/>
      </rPr>
      <t>o</t>
    </r>
    <r>
      <rPr>
        <sz val="11"/>
        <color theme="1"/>
        <rFont val="Calibri"/>
        <family val="2"/>
        <scheme val="minor"/>
      </rPr>
      <t xml:space="preserve"> Stability (B17)</t>
    </r>
  </si>
  <si>
    <t>Sensitivity Limit (B13)</t>
  </si>
  <si>
    <t>Sensitivity/Performance (B13)</t>
  </si>
  <si>
    <t>Bell Mass (B1a)</t>
  </si>
  <si>
    <t>Piston Mass (B1b)</t>
  </si>
  <si>
    <t>Ambient Pressure (B3)</t>
  </si>
  <si>
    <t>Ambient Temperature (B3)</t>
  </si>
  <si>
    <t>Ambient Humidity (B3)</t>
  </si>
  <si>
    <t>Mass Stability (B1)</t>
  </si>
  <si>
    <t>Float Position (B5)</t>
  </si>
  <si>
    <t>Barometer (B8)</t>
  </si>
  <si>
    <t>Reference Pressure, VAC (B7)</t>
  </si>
  <si>
    <t>m²</t>
  </si>
  <si>
    <t>Density of Fluid (B6)</t>
  </si>
  <si>
    <t>Surface Tension (B18)</t>
  </si>
  <si>
    <t>AMH Lubrication (B1a)</t>
  </si>
  <si>
    <t>Example PC-7102/7601-10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</si>
</sst>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00E+00"/>
    <numFmt numFmtId="165" formatCode="0.0E+00"/>
    <numFmt numFmtId="166" formatCode="0.0"/>
    <numFmt numFmtId="167" formatCode="0.0000%"/>
    <numFmt numFmtId="168" formatCode="0.000"/>
    <numFmt numFmtId="169" formatCode="0.0000"/>
    <numFmt numFmtId="170" formatCode="0.0000000"/>
    <numFmt numFmtId="171" formatCode="0.00000"/>
    <numFmt numFmtId="172" formatCode="0.000000"/>
    <numFmt numFmtId="173" formatCode="0.0_)"/>
    <numFmt numFmtId="174" formatCode="#000"/>
    <numFmt numFmtId="175" formatCode="0.000000%"/>
  </numFmts>
  <fonts count="43" x14ac:knownFonts="1">
    <font>
      <sz val="11"/>
      <color theme="1"/>
      <name val="Calibri"/>
      <family val="2"/>
      <scheme val="minor"/>
    </font>
    <font>
      <b/>
      <sz val="11"/>
      <color theme="1"/>
      <name val="Calibri"/>
      <family val="2"/>
      <scheme val="minor"/>
    </font>
    <font>
      <b/>
      <sz val="10"/>
      <name val="Arial"/>
      <family val="2"/>
    </font>
    <font>
      <b/>
      <sz val="10"/>
      <name val="Symbol"/>
      <family val="1"/>
      <charset val="2"/>
    </font>
    <font>
      <b/>
      <sz val="10"/>
      <color indexed="10"/>
      <name val="Arial"/>
      <family val="2"/>
    </font>
    <font>
      <sz val="10"/>
      <name val="Arial"/>
      <family val="2"/>
    </font>
    <font>
      <vertAlign val="subscript"/>
      <sz val="10"/>
      <name val="Arial"/>
      <family val="2"/>
    </font>
    <font>
      <vertAlign val="superscript"/>
      <sz val="10"/>
      <name val="Arial"/>
      <family val="2"/>
    </font>
    <font>
      <sz val="10"/>
      <name val="Symbol"/>
      <family val="1"/>
      <charset val="2"/>
    </font>
    <font>
      <vertAlign val="subscript"/>
      <sz val="9.1"/>
      <name val="Arial"/>
      <family val="2"/>
    </font>
    <font>
      <sz val="12"/>
      <name val="Symbol"/>
      <family val="1"/>
      <charset val="2"/>
    </font>
    <font>
      <vertAlign val="subscript"/>
      <sz val="11"/>
      <color theme="1"/>
      <name val="Calibri"/>
      <family val="2"/>
      <scheme val="minor"/>
    </font>
    <font>
      <sz val="12"/>
      <name val="Calibri"/>
      <family val="2"/>
      <scheme val="minor"/>
    </font>
    <font>
      <vertAlign val="subscript"/>
      <sz val="12"/>
      <name val="Calibri"/>
      <family val="2"/>
      <scheme val="minor"/>
    </font>
    <font>
      <sz val="9.1"/>
      <name val="Arial"/>
      <family val="2"/>
    </font>
    <font>
      <b/>
      <sz val="10"/>
      <name val="Calibri"/>
      <family val="2"/>
      <scheme val="minor"/>
    </font>
    <font>
      <vertAlign val="superscript"/>
      <sz val="11"/>
      <color theme="1"/>
      <name val="Calibri"/>
      <family val="2"/>
      <scheme val="minor"/>
    </font>
    <font>
      <sz val="11"/>
      <color theme="1"/>
      <name val="Symbol"/>
      <family val="1"/>
      <charset val="2"/>
    </font>
    <font>
      <sz val="11"/>
      <color theme="1"/>
      <name val="Calibri"/>
      <family val="2"/>
      <scheme val="minor"/>
    </font>
    <font>
      <sz val="11"/>
      <name val="Calibri"/>
      <family val="2"/>
      <scheme val="minor"/>
    </font>
    <font>
      <b/>
      <sz val="11"/>
      <name val="Calibri"/>
      <family val="2"/>
      <scheme val="minor"/>
    </font>
    <font>
      <b/>
      <sz val="11"/>
      <color indexed="10"/>
      <name val="Calibri"/>
      <family val="2"/>
      <scheme val="minor"/>
    </font>
    <font>
      <b/>
      <sz val="10"/>
      <color theme="0"/>
      <name val="Arial"/>
      <family val="2"/>
    </font>
    <font>
      <vertAlign val="subscript"/>
      <sz val="11"/>
      <name val="Calibri"/>
      <family val="2"/>
      <scheme val="minor"/>
    </font>
    <font>
      <sz val="9.9"/>
      <color theme="1"/>
      <name val="Calibri"/>
      <family val="2"/>
    </font>
    <font>
      <sz val="9.9"/>
      <color theme="1"/>
      <name val="Symbol"/>
      <family val="1"/>
      <charset val="2"/>
    </font>
    <font>
      <sz val="8.9"/>
      <color theme="1"/>
      <name val="Calibri"/>
      <family val="2"/>
    </font>
    <font>
      <vertAlign val="subscript"/>
      <sz val="8.9"/>
      <color theme="1"/>
      <name val="Calibri"/>
      <family val="2"/>
    </font>
    <font>
      <vertAlign val="subscript"/>
      <sz val="9.9"/>
      <color theme="1"/>
      <name val="Calibri"/>
      <family val="2"/>
    </font>
    <font>
      <sz val="10"/>
      <name val="Times New Roman"/>
      <family val="1"/>
    </font>
    <font>
      <b/>
      <sz val="9"/>
      <name val="Arial"/>
      <family val="2"/>
    </font>
    <font>
      <sz val="9"/>
      <name val="Arial"/>
      <family val="2"/>
    </font>
    <font>
      <b/>
      <sz val="10"/>
      <name val="Times New Roman"/>
      <family val="1"/>
    </font>
    <font>
      <sz val="12"/>
      <color theme="1"/>
      <name val="Calibri"/>
      <family val="2"/>
      <scheme val="minor"/>
    </font>
    <font>
      <b/>
      <sz val="18"/>
      <name val="Times New Roman"/>
      <family val="1"/>
    </font>
    <font>
      <sz val="18"/>
      <name val="Times New Roman"/>
      <family val="1"/>
    </font>
    <font>
      <b/>
      <sz val="14"/>
      <name val="Times New Roman"/>
      <family val="1"/>
    </font>
    <font>
      <sz val="12"/>
      <name val="Times New Roman"/>
      <family val="1"/>
    </font>
    <font>
      <sz val="14"/>
      <color theme="1"/>
      <name val="Calibri"/>
      <family val="2"/>
      <scheme val="minor"/>
    </font>
    <font>
      <b/>
      <sz val="14"/>
      <color rgb="FFFF0000"/>
      <name val="Calibri"/>
      <family val="2"/>
      <scheme val="minor"/>
    </font>
    <font>
      <b/>
      <sz val="9"/>
      <color indexed="81"/>
      <name val="Tahoma"/>
      <family val="2"/>
    </font>
    <font>
      <b/>
      <sz val="14"/>
      <name val="Calibri"/>
      <family val="2"/>
      <scheme val="minor"/>
    </font>
    <font>
      <sz val="10"/>
      <color theme="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lightUp"/>
    </fill>
    <fill>
      <patternFill patternType="solid">
        <fgColor indexed="2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1">
    <xf numFmtId="0" fontId="0" fillId="0" borderId="0"/>
    <xf numFmtId="9" fontId="18" fillId="0" borderId="0" applyFont="0" applyFill="0" applyBorder="0" applyAlignment="0" applyProtection="0"/>
    <xf numFmtId="0" fontId="29" fillId="0" borderId="0"/>
    <xf numFmtId="0" fontId="5" fillId="0" borderId="0"/>
    <xf numFmtId="0" fontId="18" fillId="0" borderId="0"/>
    <xf numFmtId="0" fontId="18" fillId="0" borderId="0"/>
    <xf numFmtId="0" fontId="18" fillId="0" borderId="0"/>
    <xf numFmtId="0" fontId="18" fillId="0" borderId="0"/>
    <xf numFmtId="0" fontId="18" fillId="0" borderId="0"/>
    <xf numFmtId="9" fontId="29" fillId="0" borderId="0" applyFont="0" applyFill="0" applyBorder="0" applyAlignment="0" applyProtection="0"/>
    <xf numFmtId="9" fontId="29" fillId="0" borderId="0" applyFont="0" applyFill="0" applyBorder="0" applyAlignment="0" applyProtection="0"/>
  </cellStyleXfs>
  <cellXfs count="311">
    <xf numFmtId="0" fontId="0" fillId="0" borderId="0" xfId="0"/>
    <xf numFmtId="0" fontId="0" fillId="0" borderId="0" xfId="0" applyProtection="1"/>
    <xf numFmtId="0" fontId="2" fillId="0" borderId="22" xfId="0" applyFont="1" applyBorder="1" applyAlignment="1" applyProtection="1">
      <alignment vertical="center"/>
    </xf>
    <xf numFmtId="0" fontId="0" fillId="0" borderId="23" xfId="0" applyBorder="1" applyAlignment="1" applyProtection="1">
      <alignment vertical="center"/>
    </xf>
    <xf numFmtId="0" fontId="0" fillId="0" borderId="23" xfId="0" applyBorder="1" applyAlignment="1" applyProtection="1">
      <alignment horizontal="center" vertical="center"/>
    </xf>
    <xf numFmtId="0" fontId="0" fillId="0" borderId="28" xfId="0" applyBorder="1" applyAlignment="1" applyProtection="1">
      <alignment horizontal="center" vertical="center"/>
    </xf>
    <xf numFmtId="0" fontId="0" fillId="0" borderId="23" xfId="0" applyBorder="1" applyProtection="1"/>
    <xf numFmtId="1" fontId="0" fillId="0" borderId="23" xfId="0" applyNumberFormat="1" applyBorder="1" applyProtection="1"/>
    <xf numFmtId="0" fontId="0" fillId="0" borderId="28" xfId="0" applyBorder="1" applyProtection="1"/>
    <xf numFmtId="0" fontId="2" fillId="0" borderId="24"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xf>
    <xf numFmtId="0" fontId="0" fillId="0" borderId="0" xfId="0" applyBorder="1" applyProtection="1"/>
    <xf numFmtId="0" fontId="0" fillId="0" borderId="29" xfId="0" applyBorder="1" applyProtection="1"/>
    <xf numFmtId="0" fontId="1" fillId="0" borderId="24" xfId="0" applyFont="1" applyBorder="1" applyProtection="1"/>
    <xf numFmtId="0" fontId="0" fillId="2" borderId="11" xfId="0" applyFill="1" applyBorder="1" applyProtection="1"/>
    <xf numFmtId="0" fontId="0" fillId="4" borderId="11" xfId="0" applyFill="1" applyBorder="1" applyProtection="1"/>
    <xf numFmtId="165" fontId="0" fillId="0" borderId="0" xfId="0" applyNumberFormat="1" applyBorder="1" applyProtection="1"/>
    <xf numFmtId="0" fontId="1" fillId="0" borderId="25" xfId="0" applyFont="1" applyBorder="1" applyProtection="1"/>
    <xf numFmtId="0" fontId="0" fillId="0" borderId="26" xfId="0" applyBorder="1" applyProtection="1"/>
    <xf numFmtId="0" fontId="0" fillId="0" borderId="30" xfId="0" applyBorder="1" applyProtection="1"/>
    <xf numFmtId="1" fontId="0" fillId="0" borderId="26" xfId="0" applyNumberFormat="1" applyBorder="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36"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15" fillId="0" borderId="5" xfId="0" applyFont="1" applyBorder="1" applyAlignment="1" applyProtection="1">
      <alignment horizontal="center" vertical="center"/>
    </xf>
    <xf numFmtId="1" fontId="2" fillId="0" borderId="5" xfId="0" quotePrefix="1" applyNumberFormat="1" applyFont="1" applyBorder="1" applyAlignment="1" applyProtection="1">
      <alignment horizontal="center" vertical="center"/>
    </xf>
    <xf numFmtId="0" fontId="0" fillId="0" borderId="7" xfId="0"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9" fillId="0" borderId="31" xfId="0" applyFont="1" applyBorder="1" applyAlignment="1" applyProtection="1">
      <alignment horizontal="left" vertical="center"/>
    </xf>
    <xf numFmtId="11" fontId="0" fillId="0" borderId="8" xfId="0" applyNumberFormat="1" applyBorder="1" applyAlignment="1" applyProtection="1">
      <alignment horizontal="center" vertical="center"/>
    </xf>
    <xf numFmtId="11" fontId="0" fillId="0" borderId="9" xfId="0" applyNumberFormat="1" applyBorder="1" applyAlignment="1" applyProtection="1">
      <alignment horizontal="center" vertical="center"/>
    </xf>
    <xf numFmtId="165" fontId="0" fillId="0" borderId="8" xfId="0" applyNumberFormat="1" applyBorder="1" applyAlignment="1" applyProtection="1">
      <alignment horizontal="center" vertical="center"/>
    </xf>
    <xf numFmtId="2" fontId="0" fillId="0" borderId="9" xfId="0" applyNumberFormat="1" applyBorder="1" applyAlignment="1" applyProtection="1">
      <alignment horizontal="center" vertical="center"/>
    </xf>
    <xf numFmtId="0" fontId="0" fillId="0" borderId="10" xfId="0" applyBorder="1" applyAlignment="1" applyProtection="1">
      <alignment horizontal="center" vertical="center"/>
    </xf>
    <xf numFmtId="0" fontId="8"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9" fillId="0" borderId="32" xfId="0" applyFont="1" applyBorder="1" applyAlignment="1" applyProtection="1">
      <alignment horizontal="left" vertical="center"/>
    </xf>
    <xf numFmtId="11" fontId="0" fillId="0" borderId="11" xfId="0" applyNumberFormat="1" applyBorder="1" applyAlignment="1" applyProtection="1">
      <alignment horizontal="center" vertical="center"/>
    </xf>
    <xf numFmtId="11" fontId="0" fillId="0" borderId="12" xfId="0" applyNumberFormat="1" applyBorder="1" applyAlignment="1" applyProtection="1">
      <alignment horizontal="center" vertical="center"/>
    </xf>
    <xf numFmtId="165" fontId="0" fillId="0" borderId="11"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0" fontId="19"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1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33" xfId="0" applyFont="1" applyBorder="1" applyAlignment="1" applyProtection="1">
      <alignment horizontal="left" vertical="center"/>
    </xf>
    <xf numFmtId="11" fontId="0" fillId="0" borderId="14" xfId="0" applyNumberFormat="1" applyBorder="1" applyAlignment="1" applyProtection="1">
      <alignment horizontal="center" vertical="center"/>
    </xf>
    <xf numFmtId="11" fontId="0" fillId="0" borderId="15" xfId="0" applyNumberFormat="1" applyBorder="1" applyAlignment="1" applyProtection="1">
      <alignment horizontal="center" vertical="center"/>
    </xf>
    <xf numFmtId="165" fontId="0" fillId="0" borderId="14" xfId="0" applyNumberFormat="1" applyBorder="1" applyAlignment="1" applyProtection="1">
      <alignment horizontal="center" vertical="center"/>
    </xf>
    <xf numFmtId="2" fontId="0" fillId="0" borderId="15" xfId="0" applyNumberFormat="1" applyBorder="1" applyAlignment="1" applyProtection="1">
      <alignment horizontal="center" vertical="center"/>
    </xf>
    <xf numFmtId="0" fontId="0" fillId="0" borderId="16" xfId="0" applyBorder="1" applyAlignment="1" applyProtection="1">
      <alignment horizontal="center" vertical="center"/>
    </xf>
    <xf numFmtId="0" fontId="5" fillId="0" borderId="17" xfId="0" applyFont="1" applyBorder="1" applyAlignment="1" applyProtection="1">
      <alignment horizontal="center" vertical="center"/>
    </xf>
    <xf numFmtId="164" fontId="0" fillId="0" borderId="17" xfId="0" applyNumberFormat="1" applyBorder="1" applyAlignment="1" applyProtection="1">
      <alignment horizontal="center" vertical="center"/>
    </xf>
    <xf numFmtId="0" fontId="5" fillId="0" borderId="18" xfId="0" applyFont="1" applyBorder="1" applyAlignment="1" applyProtection="1">
      <alignment horizontal="center" vertical="center"/>
    </xf>
    <xf numFmtId="11" fontId="0" fillId="0" borderId="18" xfId="0" applyNumberFormat="1" applyBorder="1" applyAlignment="1" applyProtection="1">
      <alignment horizontal="center" vertical="center"/>
    </xf>
    <xf numFmtId="0" fontId="0" fillId="0" borderId="27" xfId="0" applyBorder="1" applyAlignment="1" applyProtection="1">
      <alignment horizontal="center" vertical="center"/>
    </xf>
    <xf numFmtId="11" fontId="0" fillId="0" borderId="17"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10"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0" fillId="0" borderId="32" xfId="0" applyFont="1" applyBorder="1" applyAlignment="1" applyProtection="1">
      <alignment horizontal="left" vertical="center"/>
    </xf>
    <xf numFmtId="0" fontId="0" fillId="0" borderId="19" xfId="0" applyBorder="1" applyAlignment="1" applyProtection="1">
      <alignment horizontal="center" vertical="center"/>
    </xf>
    <xf numFmtId="0" fontId="12" fillId="0" borderId="20" xfId="0" applyFont="1" applyBorder="1" applyAlignment="1" applyProtection="1">
      <alignment horizontal="center" vertical="center"/>
    </xf>
    <xf numFmtId="0" fontId="0" fillId="0" borderId="21" xfId="0" applyBorder="1" applyAlignment="1" applyProtection="1">
      <alignment horizontal="center" vertical="center"/>
    </xf>
    <xf numFmtId="11" fontId="0" fillId="0" borderId="20" xfId="0" applyNumberFormat="1" applyBorder="1" applyAlignment="1" applyProtection="1">
      <alignment horizontal="center" vertical="center"/>
    </xf>
    <xf numFmtId="165" fontId="0" fillId="0" borderId="20" xfId="0" applyNumberFormat="1" applyBorder="1" applyAlignment="1" applyProtection="1">
      <alignment horizontal="center" vertical="center"/>
    </xf>
    <xf numFmtId="2" fontId="0" fillId="0" borderId="21" xfId="0" applyNumberFormat="1" applyBorder="1" applyAlignment="1" applyProtection="1">
      <alignment horizontal="center" vertical="center"/>
    </xf>
    <xf numFmtId="0" fontId="8" fillId="0" borderId="14" xfId="0" applyFont="1" applyBorder="1" applyAlignment="1" applyProtection="1">
      <alignment horizontal="center" vertical="center"/>
    </xf>
    <xf numFmtId="0" fontId="0" fillId="0" borderId="31" xfId="0" applyFont="1" applyBorder="1" applyAlignment="1" applyProtection="1">
      <alignment horizontal="left" vertical="center"/>
    </xf>
    <xf numFmtId="0" fontId="19" fillId="0" borderId="20" xfId="0" applyFont="1" applyBorder="1" applyAlignment="1" applyProtection="1">
      <alignment horizontal="center" vertical="center"/>
    </xf>
    <xf numFmtId="0" fontId="0" fillId="0" borderId="35" xfId="0" applyFont="1" applyBorder="1" applyAlignment="1" applyProtection="1">
      <alignment horizontal="left" vertical="center"/>
    </xf>
    <xf numFmtId="11" fontId="0" fillId="0" borderId="21" xfId="0" applyNumberFormat="1" applyBorder="1" applyAlignment="1" applyProtection="1">
      <alignment horizontal="center" vertical="center"/>
    </xf>
    <xf numFmtId="0" fontId="2" fillId="0" borderId="23" xfId="0" applyFont="1" applyBorder="1" applyAlignment="1" applyProtection="1">
      <alignment vertical="center"/>
    </xf>
    <xf numFmtId="0" fontId="0" fillId="0" borderId="23" xfId="0" applyBorder="1" applyAlignment="1" applyProtection="1">
      <alignment horizontal="right" vertical="center"/>
    </xf>
    <xf numFmtId="0" fontId="0" fillId="0" borderId="22" xfId="0" applyBorder="1" applyAlignment="1" applyProtection="1">
      <alignment vertical="center"/>
    </xf>
    <xf numFmtId="164" fontId="0" fillId="0" borderId="23" xfId="0" applyNumberFormat="1" applyBorder="1" applyAlignment="1" applyProtection="1">
      <alignment horizontal="right" vertical="center"/>
    </xf>
    <xf numFmtId="2" fontId="0" fillId="0" borderId="23" xfId="0" applyNumberFormat="1" applyBorder="1" applyAlignment="1" applyProtection="1">
      <alignment horizontal="center" vertical="center"/>
    </xf>
    <xf numFmtId="1" fontId="0" fillId="0" borderId="28" xfId="0" applyNumberFormat="1" applyBorder="1" applyProtection="1"/>
    <xf numFmtId="164" fontId="0" fillId="0" borderId="28" xfId="0" applyNumberFormat="1" applyBorder="1" applyAlignment="1" applyProtection="1">
      <alignment horizontal="center" vertical="center"/>
    </xf>
    <xf numFmtId="0" fontId="0" fillId="0" borderId="0" xfId="0" applyBorder="1" applyAlignment="1" applyProtection="1">
      <alignment horizontal="right" vertical="center"/>
    </xf>
    <xf numFmtId="0" fontId="0" fillId="0" borderId="24" xfId="0" applyBorder="1" applyAlignment="1" applyProtection="1">
      <alignment vertical="center"/>
    </xf>
    <xf numFmtId="2" fontId="0" fillId="0" borderId="0" xfId="0" applyNumberFormat="1" applyBorder="1" applyAlignment="1" applyProtection="1">
      <alignment horizontal="center" vertical="center"/>
    </xf>
    <xf numFmtId="1" fontId="0" fillId="0" borderId="29" xfId="0" applyNumberFormat="1" applyBorder="1" applyProtection="1"/>
    <xf numFmtId="2" fontId="0" fillId="0" borderId="29" xfId="0" applyNumberFormat="1" applyBorder="1" applyAlignment="1" applyProtection="1">
      <alignment horizontal="center" vertical="center"/>
    </xf>
    <xf numFmtId="0" fontId="2" fillId="0" borderId="0" xfId="0"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66" fontId="0" fillId="0" borderId="30" xfId="0" applyNumberFormat="1" applyBorder="1" applyAlignment="1" applyProtection="1">
      <alignment horizontal="center" vertical="center"/>
    </xf>
    <xf numFmtId="0" fontId="0" fillId="0" borderId="25" xfId="0" applyBorder="1" applyProtection="1"/>
    <xf numFmtId="0" fontId="1" fillId="0" borderId="26" xfId="0" applyFont="1" applyBorder="1" applyAlignment="1" applyProtection="1">
      <alignment horizontal="right"/>
    </xf>
    <xf numFmtId="165" fontId="2" fillId="0" borderId="26" xfId="0" applyNumberFormat="1" applyFont="1" applyBorder="1" applyAlignment="1" applyProtection="1">
      <alignment horizontal="center" vertical="center"/>
    </xf>
    <xf numFmtId="1" fontId="0" fillId="0" borderId="30" xfId="0" applyNumberFormat="1" applyBorder="1" applyProtection="1"/>
    <xf numFmtId="0" fontId="1" fillId="0" borderId="0" xfId="0" applyFont="1" applyProtection="1"/>
    <xf numFmtId="1" fontId="0" fillId="0" borderId="0" xfId="0" applyNumberFormat="1" applyProtection="1"/>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 xfId="0" quotePrefix="1" applyFill="1" applyBorder="1" applyAlignment="1" applyProtection="1">
      <alignment horizontal="center" vertical="center"/>
    </xf>
    <xf numFmtId="164" fontId="0" fillId="3" borderId="2" xfId="0" quotePrefix="1" applyNumberFormat="1" applyFill="1" applyBorder="1" applyAlignment="1" applyProtection="1">
      <alignment horizontal="center" vertical="center"/>
    </xf>
    <xf numFmtId="1" fontId="0" fillId="3" borderId="2" xfId="0" quotePrefix="1" applyNumberFormat="1" applyFill="1" applyBorder="1" applyAlignment="1" applyProtection="1">
      <alignment horizontal="center" vertical="center"/>
    </xf>
    <xf numFmtId="164" fontId="0" fillId="3" borderId="3" xfId="0" quotePrefix="1" applyNumberFormat="1" applyFill="1" applyBorder="1" applyAlignment="1" applyProtection="1">
      <alignment horizontal="center" vertical="center"/>
    </xf>
    <xf numFmtId="0" fontId="20" fillId="3" borderId="1" xfId="0" applyFont="1" applyFill="1" applyBorder="1" applyAlignment="1" applyProtection="1">
      <alignment horizontal="right" vertical="center"/>
    </xf>
    <xf numFmtId="0" fontId="20" fillId="3" borderId="2" xfId="0" applyFont="1" applyFill="1" applyBorder="1" applyAlignment="1" applyProtection="1">
      <alignment horizontal="left" vertical="center"/>
    </xf>
    <xf numFmtId="0" fontId="20" fillId="3" borderId="2" xfId="0" applyFont="1" applyFill="1" applyBorder="1" applyAlignment="1" applyProtection="1">
      <alignment horizontal="center" vertical="center"/>
    </xf>
    <xf numFmtId="1" fontId="21" fillId="3" borderId="2" xfId="0" applyNumberFormat="1" applyFont="1" applyFill="1" applyBorder="1" applyAlignment="1" applyProtection="1">
      <alignment horizontal="center" vertical="center"/>
    </xf>
    <xf numFmtId="165" fontId="0" fillId="3" borderId="2" xfId="0" quotePrefix="1" applyNumberFormat="1" applyFill="1" applyBorder="1" applyAlignment="1" applyProtection="1">
      <alignment horizontal="center" vertical="center"/>
    </xf>
    <xf numFmtId="0" fontId="19" fillId="0" borderId="19" xfId="0" applyFont="1" applyBorder="1" applyAlignment="1" applyProtection="1">
      <alignment horizontal="center" vertical="center"/>
    </xf>
    <xf numFmtId="0" fontId="0" fillId="0" borderId="11" xfId="0" applyNumberFormat="1" applyBorder="1" applyProtection="1"/>
    <xf numFmtId="11" fontId="19" fillId="0" borderId="10" xfId="0" quotePrefix="1" applyNumberFormat="1" applyFont="1" applyBorder="1" applyAlignment="1" applyProtection="1">
      <alignment horizontal="center" vertical="center"/>
    </xf>
    <xf numFmtId="0" fontId="0" fillId="2" borderId="17"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1" xfId="0" applyFill="1" applyBorder="1" applyAlignment="1" applyProtection="1">
      <alignment horizontal="center"/>
      <protection locked="0"/>
    </xf>
    <xf numFmtId="11" fontId="0" fillId="2" borderId="11" xfId="0" applyNumberFormat="1" applyFill="1" applyBorder="1" applyProtection="1">
      <protection locked="0"/>
    </xf>
    <xf numFmtId="0" fontId="0" fillId="2" borderId="11" xfId="0" applyNumberFormat="1" applyFill="1" applyBorder="1" applyProtection="1">
      <protection locked="0"/>
    </xf>
    <xf numFmtId="0" fontId="0" fillId="2" borderId="11" xfId="0" applyFill="1" applyBorder="1" applyProtection="1">
      <protection locked="0"/>
    </xf>
    <xf numFmtId="0" fontId="0" fillId="2" borderId="14" xfId="0" applyFill="1" applyBorder="1" applyProtection="1">
      <protection locked="0"/>
    </xf>
    <xf numFmtId="164" fontId="0" fillId="2" borderId="8" xfId="0" applyNumberFormat="1" applyFill="1" applyBorder="1" applyAlignment="1" applyProtection="1">
      <alignment horizontal="center" vertical="center"/>
      <protection locked="0"/>
    </xf>
    <xf numFmtId="164" fontId="0" fillId="2" borderId="11" xfId="0" applyNumberFormat="1" applyFill="1" applyBorder="1" applyAlignment="1" applyProtection="1">
      <alignment horizontal="center" vertical="center"/>
      <protection locked="0"/>
    </xf>
    <xf numFmtId="164" fontId="0" fillId="2" borderId="14" xfId="0" applyNumberFormat="1" applyFill="1" applyBorder="1" applyAlignment="1" applyProtection="1">
      <alignment horizontal="center" vertical="center"/>
      <protection locked="0"/>
    </xf>
    <xf numFmtId="0" fontId="19" fillId="2" borderId="16" xfId="0" applyFont="1" applyFill="1" applyBorder="1" applyAlignment="1" applyProtection="1">
      <alignment horizontal="right" vertical="center"/>
      <protection locked="0"/>
    </xf>
    <xf numFmtId="0" fontId="19" fillId="2" borderId="10" xfId="0" applyFont="1" applyFill="1" applyBorder="1" applyAlignment="1" applyProtection="1">
      <alignment horizontal="right" vertical="center"/>
      <protection locked="0"/>
    </xf>
    <xf numFmtId="0" fontId="0" fillId="2" borderId="10" xfId="0" applyFont="1" applyFill="1" applyBorder="1" applyAlignment="1" applyProtection="1">
      <alignment horizontal="right" vertical="center"/>
      <protection locked="0"/>
    </xf>
    <xf numFmtId="0" fontId="0" fillId="2" borderId="13" xfId="0" applyFont="1" applyFill="1" applyBorder="1" applyAlignment="1" applyProtection="1">
      <alignment horizontal="right" vertical="center"/>
      <protection locked="0"/>
    </xf>
    <xf numFmtId="0" fontId="19" fillId="2" borderId="31" xfId="0" applyFont="1" applyFill="1" applyBorder="1" applyAlignment="1" applyProtection="1">
      <alignment horizontal="center" vertical="center"/>
      <protection locked="0"/>
    </xf>
    <xf numFmtId="1" fontId="0" fillId="2" borderId="31" xfId="0" applyNumberFormat="1"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1" fontId="0" fillId="2" borderId="32" xfId="0" applyNumberFormat="1"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protection locked="0"/>
    </xf>
    <xf numFmtId="164" fontId="0" fillId="2" borderId="20" xfId="0" applyNumberFormat="1" applyFill="1" applyBorder="1" applyAlignment="1" applyProtection="1">
      <alignment horizontal="center" vertical="center"/>
      <protection locked="0"/>
    </xf>
    <xf numFmtId="0" fontId="0" fillId="2" borderId="19" xfId="0" applyFont="1" applyFill="1" applyBorder="1" applyAlignment="1" applyProtection="1">
      <alignment horizontal="right" vertical="center"/>
      <protection locked="0"/>
    </xf>
    <xf numFmtId="0" fontId="19" fillId="2" borderId="34" xfId="0" applyFont="1" applyFill="1" applyBorder="1" applyAlignment="1" applyProtection="1">
      <alignment horizontal="center" vertical="center"/>
      <protection locked="0"/>
    </xf>
    <xf numFmtId="1" fontId="0" fillId="2" borderId="34" xfId="0" applyNumberFormat="1"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1" fontId="0" fillId="2" borderId="17"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1" fontId="0" fillId="2" borderId="14" xfId="0" applyNumberFormat="1" applyFill="1" applyBorder="1" applyAlignment="1" applyProtection="1">
      <alignment horizontal="center" vertical="center"/>
      <protection locked="0"/>
    </xf>
    <xf numFmtId="1" fontId="0" fillId="2" borderId="8" xfId="0" applyNumberFormat="1" applyFill="1" applyBorder="1" applyAlignment="1" applyProtection="1">
      <alignment horizontal="center" vertical="center"/>
      <protection locked="0"/>
    </xf>
    <xf numFmtId="0" fontId="0" fillId="2" borderId="16" xfId="0" applyFont="1" applyFill="1" applyBorder="1" applyAlignment="1" applyProtection="1">
      <alignment horizontal="right" vertical="center"/>
      <protection locked="0"/>
    </xf>
    <xf numFmtId="0" fontId="0" fillId="2" borderId="31"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protection locked="0"/>
    </xf>
    <xf numFmtId="0" fontId="31" fillId="0" borderId="0" xfId="3" applyFont="1" applyAlignment="1">
      <alignment horizontal="center"/>
    </xf>
    <xf numFmtId="0" fontId="29" fillId="0" borderId="0" xfId="2"/>
    <xf numFmtId="0" fontId="32" fillId="0" borderId="0" xfId="2" applyFont="1"/>
    <xf numFmtId="0" fontId="31" fillId="0" borderId="0" xfId="2" applyFont="1" applyAlignment="1">
      <alignment horizontal="center"/>
    </xf>
    <xf numFmtId="14" fontId="31" fillId="0" borderId="0" xfId="2" applyNumberFormat="1" applyFont="1" applyAlignment="1">
      <alignment horizontal="center"/>
    </xf>
    <xf numFmtId="169" fontId="29" fillId="0" borderId="0" xfId="2" applyNumberFormat="1"/>
    <xf numFmtId="169" fontId="31" fillId="0" borderId="0" xfId="2" applyNumberFormat="1" applyFont="1" applyAlignment="1">
      <alignment horizontal="left"/>
    </xf>
    <xf numFmtId="0" fontId="29" fillId="0" borderId="0" xfId="2" applyFont="1"/>
    <xf numFmtId="0" fontId="29" fillId="0" borderId="0" xfId="2" applyFont="1" applyAlignment="1" applyProtection="1">
      <alignment horizontal="center"/>
    </xf>
    <xf numFmtId="0" fontId="29" fillId="0" borderId="0" xfId="2" applyFont="1" applyAlignment="1" applyProtection="1">
      <alignment horizontal="right"/>
    </xf>
    <xf numFmtId="169" fontId="29" fillId="0" borderId="0" xfId="2" applyNumberFormat="1" applyAlignment="1">
      <alignment horizontal="left"/>
    </xf>
    <xf numFmtId="173" fontId="29" fillId="0" borderId="0" xfId="2" applyNumberFormat="1" applyFont="1" applyProtection="1"/>
    <xf numFmtId="0" fontId="0" fillId="0" borderId="0" xfId="0" applyBorder="1" applyAlignment="1" applyProtection="1">
      <alignment horizontal="right"/>
    </xf>
    <xf numFmtId="0" fontId="0" fillId="0" borderId="0" xfId="0" applyFill="1" applyBorder="1" applyProtection="1"/>
    <xf numFmtId="11" fontId="0" fillId="2" borderId="14" xfId="0" applyNumberFormat="1" applyFill="1" applyBorder="1" applyProtection="1">
      <protection locked="0"/>
    </xf>
    <xf numFmtId="0" fontId="0" fillId="0" borderId="23" xfId="0" applyBorder="1" applyAlignment="1" applyProtection="1">
      <alignment horizontal="left" vertical="center"/>
    </xf>
    <xf numFmtId="0" fontId="1" fillId="0" borderId="23" xfId="0" applyFont="1" applyBorder="1" applyAlignment="1" applyProtection="1">
      <alignment vertical="center"/>
    </xf>
    <xf numFmtId="0" fontId="20" fillId="0" borderId="0" xfId="2" applyFont="1" applyAlignment="1">
      <alignment horizontal="left"/>
    </xf>
    <xf numFmtId="0" fontId="35" fillId="0" borderId="39" xfId="0" applyFont="1" applyBorder="1"/>
    <xf numFmtId="0" fontId="35" fillId="0" borderId="29" xfId="0" applyFont="1" applyBorder="1"/>
    <xf numFmtId="0" fontId="36" fillId="0" borderId="39" xfId="0" applyFont="1" applyBorder="1" applyAlignment="1">
      <alignment horizontal="left"/>
    </xf>
    <xf numFmtId="0" fontId="36" fillId="0" borderId="29" xfId="0" applyFont="1" applyBorder="1" applyAlignment="1">
      <alignment horizontal="center"/>
    </xf>
    <xf numFmtId="0" fontId="36" fillId="0" borderId="40" xfId="0" applyFont="1" applyBorder="1" applyAlignment="1">
      <alignment horizontal="center"/>
    </xf>
    <xf numFmtId="174" fontId="37" fillId="0" borderId="41" xfId="0" quotePrefix="1" applyNumberFormat="1" applyFont="1" applyBorder="1" applyAlignment="1">
      <alignment horizontal="right"/>
    </xf>
    <xf numFmtId="0" fontId="37" fillId="0" borderId="42" xfId="0" applyNumberFormat="1" applyFont="1" applyBorder="1" applyAlignment="1">
      <alignment horizontal="center"/>
    </xf>
    <xf numFmtId="0" fontId="37" fillId="0" borderId="42" xfId="0" applyFont="1" applyBorder="1" applyAlignment="1">
      <alignment horizontal="left"/>
    </xf>
    <xf numFmtId="0" fontId="37" fillId="0" borderId="42" xfId="0" applyFont="1" applyBorder="1" applyAlignment="1">
      <alignment horizontal="center"/>
    </xf>
    <xf numFmtId="174" fontId="37" fillId="5" borderId="41" xfId="0" quotePrefix="1" applyNumberFormat="1" applyFont="1" applyFill="1" applyBorder="1" applyAlignment="1">
      <alignment horizontal="right"/>
    </xf>
    <xf numFmtId="0" fontId="37" fillId="5" borderId="42" xfId="0" applyFont="1" applyFill="1" applyBorder="1" applyAlignment="1">
      <alignment horizontal="center"/>
    </xf>
    <xf numFmtId="14" fontId="37" fillId="0" borderId="42" xfId="0" applyNumberFormat="1" applyFont="1" applyBorder="1" applyAlignment="1">
      <alignment horizontal="center"/>
    </xf>
    <xf numFmtId="0" fontId="37" fillId="0" borderId="42" xfId="0" applyFont="1" applyBorder="1"/>
    <xf numFmtId="174" fontId="37" fillId="0" borderId="43" xfId="0" quotePrefix="1" applyNumberFormat="1" applyFont="1" applyBorder="1" applyAlignment="1">
      <alignment horizontal="right"/>
    </xf>
    <xf numFmtId="0" fontId="37" fillId="0" borderId="44" xfId="0" applyFont="1" applyBorder="1"/>
    <xf numFmtId="0" fontId="0" fillId="0" borderId="23" xfId="0" applyBorder="1" applyAlignment="1" applyProtection="1">
      <alignment horizontal="center"/>
    </xf>
    <xf numFmtId="0" fontId="0" fillId="0" borderId="0" xfId="0" applyBorder="1" applyAlignment="1" applyProtection="1">
      <alignment horizontal="center"/>
    </xf>
    <xf numFmtId="11" fontId="0" fillId="0" borderId="0" xfId="0" applyNumberFormat="1" applyBorder="1" applyAlignment="1" applyProtection="1">
      <alignment horizontal="center"/>
    </xf>
    <xf numFmtId="1" fontId="0" fillId="2" borderId="11" xfId="0" applyNumberFormat="1" applyFill="1" applyBorder="1" applyProtection="1">
      <protection locked="0"/>
    </xf>
    <xf numFmtId="166" fontId="0" fillId="0" borderId="23" xfId="0" applyNumberFormat="1" applyBorder="1" applyAlignment="1" applyProtection="1">
      <alignment horizontal="center" vertical="center"/>
    </xf>
    <xf numFmtId="0" fontId="0" fillId="2" borderId="12" xfId="0" applyFill="1" applyBorder="1" applyAlignment="1" applyProtection="1">
      <alignment horizontal="center" vertical="center"/>
      <protection locked="0"/>
    </xf>
    <xf numFmtId="1" fontId="0" fillId="0" borderId="30" xfId="0" applyNumberFormat="1" applyBorder="1" applyAlignment="1" applyProtection="1">
      <alignment horizontal="center"/>
    </xf>
    <xf numFmtId="166" fontId="0" fillId="0" borderId="0" xfId="0" applyNumberFormat="1" applyAlignment="1" applyProtection="1">
      <alignment horizontal="center"/>
    </xf>
    <xf numFmtId="167" fontId="33" fillId="0" borderId="1" xfId="1" applyNumberFormat="1" applyFont="1" applyBorder="1" applyAlignment="1" applyProtection="1">
      <alignment horizontal="right" vertical="center"/>
    </xf>
    <xf numFmtId="11" fontId="0" fillId="0" borderId="0" xfId="0" applyNumberFormat="1" applyProtection="1"/>
    <xf numFmtId="165" fontId="0" fillId="0" borderId="0" xfId="0" applyNumberFormat="1" applyProtection="1"/>
    <xf numFmtId="170" fontId="29" fillId="0" borderId="0" xfId="2" applyNumberFormat="1"/>
    <xf numFmtId="0" fontId="29" fillId="0" borderId="26" xfId="2" applyBorder="1"/>
    <xf numFmtId="0" fontId="29" fillId="0" borderId="30" xfId="2" applyBorder="1"/>
    <xf numFmtId="0" fontId="30" fillId="0" borderId="22" xfId="2" applyFont="1" applyBorder="1" applyAlignment="1">
      <alignment horizontal="center" vertical="center" wrapText="1"/>
    </xf>
    <xf numFmtId="0" fontId="30" fillId="0" borderId="23" xfId="3" applyFont="1" applyBorder="1" applyAlignment="1">
      <alignment horizontal="center" vertical="center" wrapText="1"/>
    </xf>
    <xf numFmtId="0" fontId="30" fillId="0" borderId="23" xfId="2" applyFont="1" applyBorder="1" applyAlignment="1">
      <alignment horizontal="center" vertical="center" wrapText="1"/>
    </xf>
    <xf numFmtId="167" fontId="32" fillId="0" borderId="23" xfId="2" applyNumberFormat="1" applyFont="1" applyBorder="1" applyAlignment="1">
      <alignment horizontal="center" vertical="center" wrapText="1"/>
    </xf>
    <xf numFmtId="0" fontId="32" fillId="0" borderId="23" xfId="2" applyFont="1" applyBorder="1" applyAlignment="1">
      <alignment horizontal="center" vertical="center" wrapText="1"/>
    </xf>
    <xf numFmtId="0" fontId="32" fillId="0" borderId="28" xfId="2" applyFont="1" applyBorder="1" applyAlignment="1">
      <alignment horizontal="center" vertical="center" wrapText="1"/>
    </xf>
    <xf numFmtId="0" fontId="20" fillId="0" borderId="0" xfId="3" applyFont="1" applyBorder="1" applyAlignment="1">
      <alignment horizontal="left"/>
    </xf>
    <xf numFmtId="0" fontId="32" fillId="0" borderId="0" xfId="2" applyFont="1" applyBorder="1" applyAlignment="1">
      <alignment horizontal="center"/>
    </xf>
    <xf numFmtId="1" fontId="32" fillId="0" borderId="0" xfId="2" applyNumberFormat="1" applyFont="1" applyBorder="1" applyAlignment="1">
      <alignment horizontal="center"/>
    </xf>
    <xf numFmtId="0" fontId="32" fillId="0" borderId="29" xfId="2" applyFont="1" applyBorder="1" applyAlignment="1">
      <alignment horizontal="center" vertical="center"/>
    </xf>
    <xf numFmtId="0" fontId="20" fillId="0" borderId="25" xfId="2" applyFont="1" applyBorder="1"/>
    <xf numFmtId="170" fontId="20" fillId="0" borderId="26" xfId="2" applyNumberFormat="1" applyFont="1" applyBorder="1" applyAlignment="1">
      <alignment horizontal="left"/>
    </xf>
    <xf numFmtId="0" fontId="32" fillId="0" borderId="26" xfId="2" applyFont="1" applyBorder="1" applyAlignment="1">
      <alignment horizontal="right"/>
    </xf>
    <xf numFmtId="0" fontId="31" fillId="0" borderId="26" xfId="2" applyFont="1" applyBorder="1" applyAlignment="1">
      <alignment horizontal="center"/>
    </xf>
    <xf numFmtId="0" fontId="30" fillId="0" borderId="28" xfId="2" applyFont="1" applyBorder="1" applyAlignment="1">
      <alignment horizontal="center" vertical="center" wrapText="1"/>
    </xf>
    <xf numFmtId="1" fontId="32" fillId="0" borderId="24" xfId="2" applyNumberFormat="1" applyFont="1" applyBorder="1" applyAlignment="1">
      <alignment horizontal="center"/>
    </xf>
    <xf numFmtId="1" fontId="30" fillId="0" borderId="29" xfId="2" applyNumberFormat="1" applyFont="1" applyBorder="1" applyAlignment="1">
      <alignment horizontal="center"/>
    </xf>
    <xf numFmtId="14" fontId="31" fillId="2" borderId="0" xfId="2" applyNumberFormat="1" applyFont="1" applyFill="1" applyAlignment="1" applyProtection="1">
      <alignment horizontal="center"/>
      <protection locked="0"/>
    </xf>
    <xf numFmtId="0" fontId="31" fillId="2" borderId="0" xfId="2" applyFont="1" applyFill="1" applyAlignment="1" applyProtection="1">
      <alignment horizontal="center"/>
      <protection locked="0"/>
    </xf>
    <xf numFmtId="172" fontId="31" fillId="2" borderId="0" xfId="2" applyNumberFormat="1" applyFont="1" applyFill="1" applyBorder="1" applyAlignment="1" applyProtection="1">
      <alignment horizontal="center"/>
      <protection locked="0"/>
    </xf>
    <xf numFmtId="14" fontId="31" fillId="2" borderId="24" xfId="2" applyNumberFormat="1" applyFont="1" applyFill="1" applyBorder="1" applyAlignment="1" applyProtection="1">
      <alignment horizontal="center"/>
      <protection locked="0"/>
    </xf>
    <xf numFmtId="14" fontId="31" fillId="2" borderId="25" xfId="2" applyNumberFormat="1" applyFont="1" applyFill="1" applyBorder="1" applyAlignment="1" applyProtection="1">
      <alignment horizontal="center"/>
      <protection locked="0"/>
    </xf>
    <xf numFmtId="172" fontId="31" fillId="2" borderId="26" xfId="2" applyNumberFormat="1" applyFont="1" applyFill="1" applyBorder="1" applyAlignment="1" applyProtection="1">
      <alignment horizontal="center"/>
      <protection locked="0"/>
    </xf>
    <xf numFmtId="0" fontId="29" fillId="2" borderId="0" xfId="2" applyFill="1" applyBorder="1" applyProtection="1">
      <protection locked="0"/>
    </xf>
    <xf numFmtId="0" fontId="29" fillId="2" borderId="26" xfId="2" applyFill="1" applyBorder="1" applyProtection="1">
      <protection locked="0"/>
    </xf>
    <xf numFmtId="170" fontId="31" fillId="2" borderId="0" xfId="2" applyNumberFormat="1" applyFont="1" applyFill="1" applyBorder="1" applyAlignment="1" applyProtection="1">
      <alignment horizontal="center"/>
      <protection locked="0"/>
    </xf>
    <xf numFmtId="0" fontId="31" fillId="2" borderId="0" xfId="2" applyFont="1" applyFill="1" applyBorder="1" applyAlignment="1" applyProtection="1">
      <alignment horizontal="center"/>
      <protection locked="0"/>
    </xf>
    <xf numFmtId="0" fontId="29" fillId="0" borderId="28" xfId="2" applyBorder="1"/>
    <xf numFmtId="0" fontId="37" fillId="5" borderId="42" xfId="0" applyFont="1" applyFill="1" applyBorder="1" applyAlignment="1">
      <alignment horizontal="left"/>
    </xf>
    <xf numFmtId="1" fontId="31" fillId="0" borderId="0" xfId="2" applyNumberFormat="1" applyFont="1" applyFill="1" applyBorder="1" applyAlignment="1" applyProtection="1">
      <alignment horizontal="center"/>
      <protection locked="0"/>
    </xf>
    <xf numFmtId="0" fontId="29" fillId="0" borderId="0" xfId="2" applyFill="1" applyBorder="1" applyProtection="1">
      <protection locked="0"/>
    </xf>
    <xf numFmtId="0" fontId="29" fillId="0" borderId="26" xfId="2" applyFill="1" applyBorder="1" applyProtection="1">
      <protection locked="0"/>
    </xf>
    <xf numFmtId="0" fontId="29" fillId="0" borderId="0" xfId="2" applyAlignment="1">
      <alignment horizontal="center"/>
    </xf>
    <xf numFmtId="14" fontId="32" fillId="0" borderId="24" xfId="2" applyNumberFormat="1" applyFont="1" applyFill="1" applyBorder="1" applyProtection="1">
      <protection locked="0"/>
    </xf>
    <xf numFmtId="0" fontId="29" fillId="2" borderId="29" xfId="2" applyFill="1" applyBorder="1" applyAlignment="1">
      <alignment horizontal="center"/>
    </xf>
    <xf numFmtId="0" fontId="29" fillId="0" borderId="0" xfId="2" applyBorder="1"/>
    <xf numFmtId="166" fontId="29" fillId="0" borderId="0" xfId="2" applyNumberFormat="1" applyBorder="1" applyAlignment="1">
      <alignment horizontal="center"/>
    </xf>
    <xf numFmtId="0" fontId="30" fillId="0" borderId="22" xfId="2" applyFont="1" applyBorder="1" applyAlignment="1">
      <alignment horizontal="center"/>
    </xf>
    <xf numFmtId="0" fontId="30" fillId="0" borderId="23" xfId="2" applyFont="1" applyBorder="1" applyAlignment="1">
      <alignment horizontal="center"/>
    </xf>
    <xf numFmtId="169" fontId="30" fillId="0" borderId="23" xfId="2" applyNumberFormat="1" applyFont="1" applyBorder="1" applyAlignment="1">
      <alignment horizontal="center"/>
    </xf>
    <xf numFmtId="0" fontId="1" fillId="0" borderId="23" xfId="0" applyFont="1" applyBorder="1"/>
    <xf numFmtId="0" fontId="32" fillId="0" borderId="28" xfId="2" applyFont="1" applyBorder="1" applyAlignment="1">
      <alignment horizontal="center"/>
    </xf>
    <xf numFmtId="0" fontId="30" fillId="0" borderId="24" xfId="2" applyFont="1" applyBorder="1" applyAlignment="1">
      <alignment horizontal="center"/>
    </xf>
    <xf numFmtId="0" fontId="30" fillId="0" borderId="0" xfId="3" applyFont="1" applyBorder="1" applyAlignment="1">
      <alignment horizontal="center"/>
    </xf>
    <xf numFmtId="169" fontId="31" fillId="0" borderId="0" xfId="2" applyNumberFormat="1" applyFont="1" applyBorder="1" applyAlignment="1">
      <alignment horizontal="center"/>
    </xf>
    <xf numFmtId="0" fontId="29" fillId="0" borderId="29" xfId="2" applyBorder="1" applyAlignment="1">
      <alignment horizontal="center"/>
    </xf>
    <xf numFmtId="0" fontId="31" fillId="0" borderId="24" xfId="2" applyNumberFormat="1" applyFont="1" applyBorder="1" applyAlignment="1">
      <alignment horizontal="center"/>
    </xf>
    <xf numFmtId="0" fontId="30" fillId="0" borderId="0" xfId="2" applyFont="1" applyBorder="1" applyAlignment="1">
      <alignment horizontal="center"/>
    </xf>
    <xf numFmtId="170" fontId="32" fillId="0" borderId="0" xfId="2" applyNumberFormat="1" applyFont="1" applyFill="1" applyBorder="1" applyProtection="1">
      <protection locked="0"/>
    </xf>
    <xf numFmtId="166" fontId="29" fillId="0" borderId="29" xfId="2" applyNumberFormat="1" applyFill="1" applyBorder="1" applyAlignment="1">
      <alignment horizontal="center"/>
    </xf>
    <xf numFmtId="166" fontId="29" fillId="0" borderId="0" xfId="2" applyNumberFormat="1" applyAlignment="1">
      <alignment horizontal="center"/>
    </xf>
    <xf numFmtId="170" fontId="30" fillId="0" borderId="0" xfId="2" applyNumberFormat="1" applyFont="1" applyFill="1" applyBorder="1" applyAlignment="1" applyProtection="1">
      <protection locked="0"/>
    </xf>
    <xf numFmtId="170" fontId="30" fillId="0" borderId="0" xfId="2" applyNumberFormat="1" applyFont="1" applyFill="1" applyBorder="1" applyAlignment="1" applyProtection="1">
      <alignment horizontal="center"/>
      <protection locked="0"/>
    </xf>
    <xf numFmtId="1" fontId="31" fillId="0" borderId="26" xfId="2" applyNumberFormat="1" applyFont="1" applyFill="1" applyBorder="1" applyAlignment="1" applyProtection="1">
      <alignment horizontal="center"/>
      <protection locked="0"/>
    </xf>
    <xf numFmtId="170" fontId="30" fillId="0" borderId="26" xfId="2" applyNumberFormat="1" applyFont="1" applyFill="1" applyBorder="1" applyAlignment="1" applyProtection="1">
      <alignment horizontal="center"/>
      <protection locked="0"/>
    </xf>
    <xf numFmtId="166" fontId="29" fillId="0" borderId="30" xfId="2" applyNumberFormat="1" applyFill="1" applyBorder="1" applyAlignment="1">
      <alignment horizontal="center"/>
    </xf>
    <xf numFmtId="0" fontId="31" fillId="0" borderId="0" xfId="2" applyFont="1" applyFill="1" applyBorder="1" applyAlignment="1" applyProtection="1">
      <alignment horizontal="center"/>
      <protection locked="0"/>
    </xf>
    <xf numFmtId="169" fontId="29" fillId="0" borderId="0" xfId="2" applyNumberFormat="1" applyAlignment="1">
      <alignment horizontal="center"/>
    </xf>
    <xf numFmtId="171" fontId="32" fillId="0" borderId="0" xfId="2" applyNumberFormat="1" applyFont="1" applyFill="1" applyBorder="1" applyProtection="1">
      <protection locked="0"/>
    </xf>
    <xf numFmtId="171" fontId="30" fillId="0" borderId="0" xfId="2" applyNumberFormat="1" applyFont="1" applyFill="1" applyBorder="1" applyAlignment="1" applyProtection="1">
      <protection locked="0"/>
    </xf>
    <xf numFmtId="171" fontId="30" fillId="0" borderId="0" xfId="2" applyNumberFormat="1" applyFont="1" applyFill="1" applyBorder="1" applyAlignment="1" applyProtection="1">
      <alignment horizontal="center"/>
      <protection locked="0"/>
    </xf>
    <xf numFmtId="0" fontId="30" fillId="0" borderId="29" xfId="2" applyFont="1" applyBorder="1" applyAlignment="1">
      <alignment horizontal="center"/>
    </xf>
    <xf numFmtId="169" fontId="31" fillId="0" borderId="29" xfId="2" applyNumberFormat="1" applyFont="1" applyFill="1" applyBorder="1" applyAlignment="1">
      <alignment horizontal="center"/>
    </xf>
    <xf numFmtId="1" fontId="42" fillId="0" borderId="0" xfId="2" applyNumberFormat="1" applyFont="1" applyAlignment="1" applyProtection="1">
      <alignment horizontal="center"/>
    </xf>
    <xf numFmtId="1" fontId="42" fillId="0" borderId="0" xfId="2" applyNumberFormat="1" applyFont="1" applyAlignment="1" applyProtection="1">
      <alignment horizontal="center"/>
      <protection hidden="1"/>
    </xf>
    <xf numFmtId="0" fontId="0" fillId="0" borderId="0" xfId="0" applyFill="1" applyBorder="1" applyAlignment="1" applyProtection="1">
      <alignment horizontal="right"/>
    </xf>
    <xf numFmtId="164" fontId="0" fillId="0" borderId="20" xfId="0" applyNumberFormat="1" applyFill="1" applyBorder="1" applyAlignment="1" applyProtection="1">
      <alignment horizontal="center" vertical="center"/>
    </xf>
    <xf numFmtId="175" fontId="29" fillId="0" borderId="0" xfId="1" applyNumberFormat="1" applyFont="1" applyAlignment="1">
      <alignment horizontal="center"/>
    </xf>
    <xf numFmtId="172" fontId="29" fillId="0" borderId="0" xfId="1" applyNumberFormat="1" applyFont="1" applyAlignment="1">
      <alignment horizontal="center"/>
    </xf>
    <xf numFmtId="0" fontId="1" fillId="0" borderId="0" xfId="0" applyFont="1" applyBorder="1" applyAlignment="1" applyProtection="1">
      <alignment horizontal="right"/>
    </xf>
    <xf numFmtId="0" fontId="1" fillId="0" borderId="0" xfId="0" applyFont="1" applyBorder="1" applyAlignment="1" applyProtection="1">
      <alignment horizontal="center"/>
    </xf>
    <xf numFmtId="11" fontId="1" fillId="0" borderId="0" xfId="0" applyNumberFormat="1" applyFont="1" applyBorder="1" applyAlignment="1" applyProtection="1">
      <alignment horizontal="center"/>
    </xf>
    <xf numFmtId="166" fontId="1" fillId="0" borderId="0" xfId="0" applyNumberFormat="1" applyFont="1" applyAlignment="1" applyProtection="1">
      <alignment horizontal="center"/>
    </xf>
    <xf numFmtId="171" fontId="0" fillId="2" borderId="10" xfId="0" applyNumberFormat="1" applyFont="1" applyFill="1" applyBorder="1" applyAlignment="1" applyProtection="1">
      <alignment horizontal="right" vertical="center"/>
      <protection locked="0"/>
    </xf>
    <xf numFmtId="170" fontId="0" fillId="2" borderId="10" xfId="0" applyNumberFormat="1" applyFont="1" applyFill="1" applyBorder="1" applyAlignment="1" applyProtection="1">
      <alignment horizontal="right" vertical="center"/>
      <protection locked="0"/>
    </xf>
    <xf numFmtId="11" fontId="0" fillId="0" borderId="0" xfId="0" applyNumberFormat="1" applyBorder="1" applyAlignment="1" applyProtection="1">
      <alignment horizontal="left" vertical="center"/>
    </xf>
    <xf numFmtId="168" fontId="33" fillId="0" borderId="3" xfId="0" applyNumberFormat="1" applyFont="1" applyBorder="1" applyAlignment="1" applyProtection="1">
      <alignment vertical="center"/>
    </xf>
    <xf numFmtId="0" fontId="41" fillId="0" borderId="22" xfId="0" applyFont="1" applyBorder="1" applyAlignment="1" applyProtection="1">
      <alignment horizontal="left" vertical="top" wrapText="1"/>
    </xf>
    <xf numFmtId="0" fontId="41" fillId="0" borderId="23" xfId="0" applyFont="1" applyBorder="1" applyAlignment="1" applyProtection="1">
      <alignment horizontal="left" vertical="top" wrapText="1"/>
    </xf>
    <xf numFmtId="0" fontId="41" fillId="0" borderId="28" xfId="0" applyFont="1" applyBorder="1" applyAlignment="1" applyProtection="1">
      <alignment horizontal="left" vertical="top" wrapText="1"/>
    </xf>
    <xf numFmtId="0" fontId="41" fillId="0" borderId="24" xfId="0" applyFont="1" applyBorder="1" applyAlignment="1" applyProtection="1">
      <alignment horizontal="left" vertical="top" wrapText="1"/>
    </xf>
    <xf numFmtId="0" fontId="41" fillId="0" borderId="0" xfId="0" applyFont="1" applyBorder="1" applyAlignment="1" applyProtection="1">
      <alignment horizontal="left" vertical="top" wrapText="1"/>
    </xf>
    <xf numFmtId="0" fontId="41" fillId="0" borderId="29" xfId="0" applyFont="1" applyBorder="1" applyAlignment="1" applyProtection="1">
      <alignment horizontal="left" vertical="top" wrapText="1"/>
    </xf>
    <xf numFmtId="0" fontId="41" fillId="0" borderId="25" xfId="0" applyFont="1" applyBorder="1" applyAlignment="1" applyProtection="1">
      <alignment horizontal="left" vertical="top" wrapText="1"/>
    </xf>
    <xf numFmtId="0" fontId="41" fillId="0" borderId="26" xfId="0" applyFont="1" applyBorder="1" applyAlignment="1" applyProtection="1">
      <alignment horizontal="left" vertical="top" wrapText="1"/>
    </xf>
    <xf numFmtId="0" fontId="41" fillId="0" borderId="30" xfId="0" applyFont="1" applyBorder="1" applyAlignment="1" applyProtection="1">
      <alignment horizontal="left" vertical="top" wrapText="1"/>
    </xf>
    <xf numFmtId="164" fontId="22" fillId="3" borderId="1" xfId="0" applyNumberFormat="1" applyFont="1" applyFill="1" applyBorder="1" applyAlignment="1" applyProtection="1">
      <alignment horizontal="center" vertical="center"/>
    </xf>
    <xf numFmtId="164" fontId="22" fillId="3" borderId="2" xfId="0" applyNumberFormat="1" applyFont="1" applyFill="1" applyBorder="1" applyAlignment="1" applyProtection="1">
      <alignment horizontal="center" vertical="center"/>
    </xf>
    <xf numFmtId="164" fontId="22" fillId="3" borderId="26" xfId="0" applyNumberFormat="1" applyFont="1" applyFill="1" applyBorder="1" applyAlignment="1" applyProtection="1">
      <alignment horizontal="center" vertical="center"/>
    </xf>
    <xf numFmtId="164" fontId="22" fillId="3" borderId="3" xfId="0" applyNumberFormat="1"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1" fontId="38" fillId="0" borderId="0" xfId="0" applyNumberFormat="1" applyFont="1" applyAlignment="1" applyProtection="1">
      <alignment horizontal="center" vertical="top" wrapText="1"/>
    </xf>
    <xf numFmtId="1" fontId="38" fillId="0" borderId="29" xfId="0" applyNumberFormat="1" applyFont="1" applyBorder="1" applyAlignment="1" applyProtection="1">
      <alignment horizontal="center" vertical="top" wrapText="1"/>
    </xf>
    <xf numFmtId="1" fontId="39" fillId="0" borderId="0" xfId="0" applyNumberFormat="1" applyFont="1" applyBorder="1" applyAlignment="1" applyProtection="1">
      <alignment horizontal="center" vertical="top" wrapText="1"/>
    </xf>
    <xf numFmtId="1" fontId="39" fillId="0" borderId="29" xfId="0" applyNumberFormat="1" applyFont="1" applyBorder="1" applyAlignment="1" applyProtection="1">
      <alignment horizontal="center" vertical="top" wrapText="1"/>
    </xf>
    <xf numFmtId="0" fontId="22" fillId="3" borderId="25" xfId="0" applyFont="1" applyFill="1" applyBorder="1" applyAlignment="1" applyProtection="1">
      <alignment horizontal="center" vertical="center"/>
    </xf>
    <xf numFmtId="0" fontId="22" fillId="3" borderId="26"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2" fillId="3" borderId="30" xfId="0" applyFont="1" applyFill="1" applyBorder="1" applyAlignment="1" applyProtection="1">
      <alignment horizontal="center" vertical="center"/>
    </xf>
    <xf numFmtId="0" fontId="0" fillId="2" borderId="45" xfId="0" applyFill="1" applyBorder="1" applyAlignment="1" applyProtection="1">
      <alignment horizontal="center"/>
      <protection locked="0"/>
    </xf>
    <xf numFmtId="0" fontId="0" fillId="2" borderId="33" xfId="0" applyFill="1" applyBorder="1" applyAlignment="1" applyProtection="1">
      <alignment horizontal="center"/>
      <protection locked="0"/>
    </xf>
    <xf numFmtId="11" fontId="0" fillId="0" borderId="0" xfId="0" applyNumberFormat="1" applyBorder="1" applyAlignment="1" applyProtection="1">
      <alignment horizontal="left" vertical="top" wrapText="1"/>
    </xf>
    <xf numFmtId="11" fontId="0" fillId="0" borderId="26" xfId="0" applyNumberFormat="1" applyBorder="1" applyAlignment="1" applyProtection="1">
      <alignment horizontal="left" vertical="top" wrapText="1"/>
    </xf>
    <xf numFmtId="0" fontId="34" fillId="0" borderId="1" xfId="0" applyFont="1" applyBorder="1" applyAlignment="1">
      <alignment horizontal="center"/>
    </xf>
    <xf numFmtId="0" fontId="35" fillId="0" borderId="2" xfId="0" applyFont="1" applyBorder="1" applyAlignment="1">
      <alignment horizontal="center"/>
    </xf>
    <xf numFmtId="0" fontId="35" fillId="0" borderId="3" xfId="0" applyFont="1" applyBorder="1" applyAlignment="1">
      <alignment horizontal="center"/>
    </xf>
  </cellXfs>
  <cellStyles count="11">
    <cellStyle name="Normal" xfId="0" builtinId="0"/>
    <cellStyle name="Normal 2" xfId="2"/>
    <cellStyle name="Normal 3" xfId="3"/>
    <cellStyle name="Normal 4" xfId="4"/>
    <cellStyle name="Normal 5" xfId="5"/>
    <cellStyle name="Normal 5 2" xfId="6"/>
    <cellStyle name="Normal 5 2 2" xfId="7"/>
    <cellStyle name="Normal 6" xfId="8"/>
    <cellStyle name="Percent" xfId="1" builtinId="5"/>
    <cellStyle name="Percent 2" xfId="9"/>
    <cellStyle name="Percent 3" xfId="10"/>
  </cellStyles>
  <dxfs count="4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Ae</a:t>
            </a:r>
            <a:endParaRPr lang="en-US"/>
          </a:p>
        </c:rich>
      </c:tx>
      <c:overlay val="0"/>
    </c:title>
    <c:autoTitleDeleted val="0"/>
    <c:plotArea>
      <c:layout/>
      <c:scatterChart>
        <c:scatterStyle val="lineMarker"/>
        <c:varyColors val="0"/>
        <c:ser>
          <c:idx val="0"/>
          <c:order val="0"/>
          <c:tx>
            <c:v>Measured Values</c:v>
          </c:tx>
          <c:spPr>
            <a:ln>
              <a:noFill/>
            </a:ln>
          </c:spPr>
          <c:errBars>
            <c:errDir val="y"/>
            <c:errBarType val="both"/>
            <c:errValType val="cust"/>
            <c:noEndCap val="0"/>
            <c:pl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plus>
            <c:min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minus>
          </c:errBars>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Historical_Ae!$B$9:$B$25</c:f>
              <c:numCache>
                <c:formatCode>0.0000000</c:formatCode>
                <c:ptCount val="17"/>
                <c:pt idx="0">
                  <c:v>49.019165999999998</c:v>
                </c:pt>
                <c:pt idx="1">
                  <c:v>49.019437000000003</c:v>
                </c:pt>
                <c:pt idx="2">
                  <c:v>49.018915</c:v>
                </c:pt>
                <c:pt idx="3" formatCode="0.000000">
                  <c:v>49.019128000000002</c:v>
                </c:pt>
                <c:pt idx="4" formatCode="0.000000">
                  <c:v>49.019176000000002</c:v>
                </c:pt>
                <c:pt idx="5" formatCode="0.000000">
                  <c:v>49.018917999999999</c:v>
                </c:pt>
                <c:pt idx="6" formatCode="0.000000">
                  <c:v>49.019061000000001</c:v>
                </c:pt>
                <c:pt idx="7" formatCode="0.000000">
                  <c:v>49.019103999999999</c:v>
                </c:pt>
                <c:pt idx="8" formatCode="0.000000">
                  <c:v>49.019150000000003</c:v>
                </c:pt>
              </c:numCache>
            </c:numRef>
          </c:yVal>
          <c:smooth val="0"/>
          <c:extLst>
            <c:ext xmlns:c16="http://schemas.microsoft.com/office/drawing/2014/chart" uri="{C3380CC4-5D6E-409C-BE32-E72D297353CC}">
              <c16:uniqueId val="{00000000-4358-499C-9F9B-E5B7EE627553}"/>
            </c:ext>
          </c:extLst>
        </c:ser>
        <c:ser>
          <c:idx val="1"/>
          <c:order val="1"/>
          <c:tx>
            <c:v>Upper Bound</c:v>
          </c:tx>
          <c:spPr>
            <a:ln w="28575">
              <a:solidFill>
                <a:srgbClr val="FFC000"/>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Historical_Ae!$G$9:$G$25</c:f>
              <c:numCache>
                <c:formatCode>General</c:formatCode>
                <c:ptCount val="17"/>
                <c:pt idx="0">
                  <c:v>49.019534469119066</c:v>
                </c:pt>
                <c:pt idx="1">
                  <c:v>49.019518718073066</c:v>
                </c:pt>
                <c:pt idx="2">
                  <c:v>49.019504365088913</c:v>
                </c:pt>
                <c:pt idx="3">
                  <c:v>49.019479643764853</c:v>
                </c:pt>
                <c:pt idx="4">
                  <c:v>49.019460171976654</c:v>
                </c:pt>
                <c:pt idx="5">
                  <c:v>49.019443832234671</c:v>
                </c:pt>
                <c:pt idx="6">
                  <c:v>49.019436672113244</c:v>
                </c:pt>
                <c:pt idx="7">
                  <c:v>49.019434587696836</c:v>
                </c:pt>
                <c:pt idx="8">
                  <c:v>49.019437071167737</c:v>
                </c:pt>
              </c:numCache>
            </c:numRef>
          </c:yVal>
          <c:smooth val="0"/>
          <c:extLst>
            <c:ext xmlns:c16="http://schemas.microsoft.com/office/drawing/2014/chart" uri="{C3380CC4-5D6E-409C-BE32-E72D297353CC}">
              <c16:uniqueId val="{00000001-4358-499C-9F9B-E5B7EE627553}"/>
            </c:ext>
          </c:extLst>
        </c:ser>
        <c:ser>
          <c:idx val="2"/>
          <c:order val="2"/>
          <c:tx>
            <c:v>Lower Bound</c:v>
          </c:tx>
          <c:spPr>
            <a:ln w="28575">
              <a:solidFill>
                <a:schemeClr val="accent1"/>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Historical_Ae!$H$9:$H$25</c:f>
              <c:numCache>
                <c:formatCode>General</c:formatCode>
                <c:ptCount val="17"/>
                <c:pt idx="0">
                  <c:v>49.018799540677975</c:v>
                </c:pt>
                <c:pt idx="1">
                  <c:v>49.018799827631788</c:v>
                </c:pt>
                <c:pt idx="2">
                  <c:v>49.018798923817208</c:v>
                </c:pt>
                <c:pt idx="3">
                  <c:v>49.018793380295961</c:v>
                </c:pt>
                <c:pt idx="4">
                  <c:v>49.018782462862767</c:v>
                </c:pt>
                <c:pt idx="5">
                  <c:v>49.018761365405695</c:v>
                </c:pt>
                <c:pt idx="6">
                  <c:v>49.018738177764419</c:v>
                </c:pt>
                <c:pt idx="7">
                  <c:v>49.018709831500757</c:v>
                </c:pt>
                <c:pt idx="8">
                  <c:v>49.018676958808463</c:v>
                </c:pt>
              </c:numCache>
            </c:numRef>
          </c:yVal>
          <c:smooth val="0"/>
          <c:extLst>
            <c:ext xmlns:c16="http://schemas.microsoft.com/office/drawing/2014/chart" uri="{C3380CC4-5D6E-409C-BE32-E72D297353CC}">
              <c16:uniqueId val="{00000002-4358-499C-9F9B-E5B7EE627553}"/>
            </c:ext>
          </c:extLst>
        </c:ser>
        <c:ser>
          <c:idx val="3"/>
          <c:order val="3"/>
          <c:tx>
            <c:v>Predicted</c:v>
          </c:tx>
          <c:spPr>
            <a:ln w="28575">
              <a:solidFill>
                <a:schemeClr val="accent2"/>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Historical_Ae!$F$9:$F$25</c:f>
              <c:numCache>
                <c:formatCode>0.0000000</c:formatCode>
                <c:ptCount val="17"/>
                <c:pt idx="0">
                  <c:v>49.01916700489852</c:v>
                </c:pt>
                <c:pt idx="1">
                  <c:v>49.019159272852427</c:v>
                </c:pt>
                <c:pt idx="2">
                  <c:v>49.019151644453061</c:v>
                </c:pt>
                <c:pt idx="3">
                  <c:v>49.019136512030407</c:v>
                </c:pt>
                <c:pt idx="4">
                  <c:v>49.01912131741971</c:v>
                </c:pt>
                <c:pt idx="5">
                  <c:v>49.019102598820183</c:v>
                </c:pt>
                <c:pt idx="6">
                  <c:v>49.019087424938832</c:v>
                </c:pt>
                <c:pt idx="7">
                  <c:v>49.019072209598797</c:v>
                </c:pt>
                <c:pt idx="8">
                  <c:v>49.0190570149881</c:v>
                </c:pt>
              </c:numCache>
            </c:numRef>
          </c:yVal>
          <c:smooth val="0"/>
          <c:extLst>
            <c:ext xmlns:c16="http://schemas.microsoft.com/office/drawing/2014/chart" uri="{C3380CC4-5D6E-409C-BE32-E72D297353CC}">
              <c16:uniqueId val="{00000003-4358-499C-9F9B-E5B7EE627553}"/>
            </c:ext>
          </c:extLst>
        </c:ser>
        <c:dLbls>
          <c:showLegendKey val="0"/>
          <c:showVal val="0"/>
          <c:showCatName val="0"/>
          <c:showSerName val="0"/>
          <c:showPercent val="0"/>
          <c:showBubbleSize val="0"/>
        </c:dLbls>
        <c:axId val="267097216"/>
        <c:axId val="267099136"/>
      </c:scatterChart>
      <c:valAx>
        <c:axId val="267097216"/>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267099136"/>
        <c:crosses val="autoZero"/>
        <c:crossBetween val="midCat"/>
      </c:valAx>
      <c:valAx>
        <c:axId val="267099136"/>
        <c:scaling>
          <c:orientation val="minMax"/>
        </c:scaling>
        <c:delete val="0"/>
        <c:axPos val="l"/>
        <c:majorGridlines/>
        <c:title>
          <c:tx>
            <c:rich>
              <a:bodyPr rot="-5400000" vert="horz"/>
              <a:lstStyle/>
              <a:p>
                <a:pPr>
                  <a:defRPr/>
                </a:pPr>
                <a:r>
                  <a:rPr lang="en-US" baseline="0"/>
                  <a:t>kg</a:t>
                </a:r>
                <a:r>
                  <a:rPr lang="en-US" baseline="30000"/>
                  <a:t>2</a:t>
                </a:r>
                <a:endParaRPr lang="en-US"/>
              </a:p>
            </c:rich>
          </c:tx>
          <c:overlay val="0"/>
        </c:title>
        <c:numFmt formatCode="0.0000" sourceLinked="0"/>
        <c:majorTickMark val="out"/>
        <c:minorTickMark val="none"/>
        <c:tickLblPos val="nextTo"/>
        <c:crossAx val="267097216"/>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Mass</a:t>
            </a:r>
            <a:endParaRPr lang="en-US"/>
          </a:p>
        </c:rich>
      </c:tx>
      <c:overlay val="0"/>
    </c:title>
    <c:autoTitleDeleted val="0"/>
    <c:plotArea>
      <c:layout/>
      <c:scatterChart>
        <c:scatterStyle val="lineMarker"/>
        <c:varyColors val="0"/>
        <c:ser>
          <c:idx val="0"/>
          <c:order val="0"/>
          <c:tx>
            <c:v>Measured Values</c:v>
          </c:tx>
          <c:spPr>
            <a:ln>
              <a:noFill/>
            </a:ln>
          </c:spPr>
          <c:errBars>
            <c:errDir val="y"/>
            <c:errBarType val="both"/>
            <c:errValType val="cust"/>
            <c:noEndCap val="0"/>
            <c:plus>
              <c:numRef>
                <c:f>Historical_mass!$D$9:$D$26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numCache>
              </c:numRef>
            </c:plus>
            <c:minus>
              <c:numRef>
                <c:f>Historical_mass!$D$9:$D$26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numCache>
              </c:numRef>
            </c:minus>
          </c:errBars>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Historical_mass!$B$9:$B$25</c:f>
              <c:numCache>
                <c:formatCode>General</c:formatCode>
                <c:ptCount val="17"/>
                <c:pt idx="0">
                  <c:v>199.989</c:v>
                </c:pt>
                <c:pt idx="1">
                  <c:v>199.98759999999999</c:v>
                </c:pt>
                <c:pt idx="2">
                  <c:v>199.98740000000001</c:v>
                </c:pt>
                <c:pt idx="3">
                  <c:v>199.98699999999999</c:v>
                </c:pt>
                <c:pt idx="4">
                  <c:v>199.9853</c:v>
                </c:pt>
                <c:pt idx="5">
                  <c:v>199.98400000000001</c:v>
                </c:pt>
                <c:pt idx="6">
                  <c:v>199.98429999999999</c:v>
                </c:pt>
                <c:pt idx="7">
                  <c:v>199.9838</c:v>
                </c:pt>
                <c:pt idx="8">
                  <c:v>199.98349999999999</c:v>
                </c:pt>
              </c:numCache>
            </c:numRef>
          </c:yVal>
          <c:smooth val="0"/>
          <c:extLst>
            <c:ext xmlns:c16="http://schemas.microsoft.com/office/drawing/2014/chart" uri="{C3380CC4-5D6E-409C-BE32-E72D297353CC}">
              <c16:uniqueId val="{00000000-3AE8-4F79-A57C-0C697B57F275}"/>
            </c:ext>
          </c:extLst>
        </c:ser>
        <c:ser>
          <c:idx val="1"/>
          <c:order val="1"/>
          <c:tx>
            <c:v>Upper Bound</c:v>
          </c:tx>
          <c:spPr>
            <a:ln w="28575">
              <a:solidFill>
                <a:srgbClr val="FFC000"/>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Historical_mass!$G$9:$G$25</c:f>
              <c:numCache>
                <c:formatCode>General</c:formatCode>
                <c:ptCount val="17"/>
                <c:pt idx="0">
                  <c:v>199.98968982139229</c:v>
                </c:pt>
                <c:pt idx="1">
                  <c:v>199.9891214596918</c:v>
                </c:pt>
                <c:pt idx="2">
                  <c:v>199.98853835312127</c:v>
                </c:pt>
                <c:pt idx="3">
                  <c:v>199.98798644992129</c:v>
                </c:pt>
                <c:pt idx="4">
                  <c:v>199.98717252394823</c:v>
                </c:pt>
                <c:pt idx="5">
                  <c:v>199.98611168224579</c:v>
                </c:pt>
                <c:pt idx="6">
                  <c:v>199.98560219145034</c:v>
                </c:pt>
                <c:pt idx="7">
                  <c:v>199.98508842345538</c:v>
                </c:pt>
                <c:pt idx="8">
                  <c:v>199.98410225271027</c:v>
                </c:pt>
              </c:numCache>
            </c:numRef>
          </c:yVal>
          <c:smooth val="0"/>
          <c:extLst>
            <c:ext xmlns:c16="http://schemas.microsoft.com/office/drawing/2014/chart" uri="{C3380CC4-5D6E-409C-BE32-E72D297353CC}">
              <c16:uniqueId val="{00000001-3AE8-4F79-A57C-0C697B57F275}"/>
            </c:ext>
          </c:extLst>
        </c:ser>
        <c:ser>
          <c:idx val="2"/>
          <c:order val="2"/>
          <c:tx>
            <c:v>Lower Bound</c:v>
          </c:tx>
          <c:spPr>
            <a:ln w="28575">
              <a:solidFill>
                <a:schemeClr val="accent1"/>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Historical_mass!$H$9:$H$25</c:f>
              <c:numCache>
                <c:formatCode>General</c:formatCode>
                <c:ptCount val="17"/>
                <c:pt idx="0">
                  <c:v>199.98701602802834</c:v>
                </c:pt>
                <c:pt idx="1">
                  <c:v>199.98653037866185</c:v>
                </c:pt>
                <c:pt idx="2">
                  <c:v>199.98601543470579</c:v>
                </c:pt>
                <c:pt idx="3">
                  <c:v>199.98551039087479</c:v>
                </c:pt>
                <c:pt idx="4">
                  <c:v>199.98473008840944</c:v>
                </c:pt>
                <c:pt idx="5">
                  <c:v>199.98364180448226</c:v>
                </c:pt>
                <c:pt idx="6">
                  <c:v>199.98308847631878</c:v>
                </c:pt>
                <c:pt idx="7">
                  <c:v>199.9825100657151</c:v>
                </c:pt>
                <c:pt idx="8">
                  <c:v>199.98134417486659</c:v>
                </c:pt>
              </c:numCache>
            </c:numRef>
          </c:yVal>
          <c:smooth val="0"/>
          <c:extLst>
            <c:ext xmlns:c16="http://schemas.microsoft.com/office/drawing/2014/chart" uri="{C3380CC4-5D6E-409C-BE32-E72D297353CC}">
              <c16:uniqueId val="{00000002-3AE8-4F79-A57C-0C697B57F275}"/>
            </c:ext>
          </c:extLst>
        </c:ser>
        <c:ser>
          <c:idx val="3"/>
          <c:order val="3"/>
          <c:tx>
            <c:v>Predicted</c:v>
          </c:tx>
          <c:spPr>
            <a:ln w="28575">
              <a:solidFill>
                <a:schemeClr val="accent2"/>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Historical_mass!$F$9:$F$25</c:f>
              <c:numCache>
                <c:formatCode>0.00000</c:formatCode>
                <c:ptCount val="17"/>
                <c:pt idx="0">
                  <c:v>199.98835292471031</c:v>
                </c:pt>
                <c:pt idx="1">
                  <c:v>199.98782591917683</c:v>
                </c:pt>
                <c:pt idx="2">
                  <c:v>199.98727689391353</c:v>
                </c:pt>
                <c:pt idx="3">
                  <c:v>199.98674842039804</c:v>
                </c:pt>
                <c:pt idx="4">
                  <c:v>199.98595130617883</c:v>
                </c:pt>
                <c:pt idx="5">
                  <c:v>199.98487674336403</c:v>
                </c:pt>
                <c:pt idx="6">
                  <c:v>199.98434533388456</c:v>
                </c:pt>
                <c:pt idx="7">
                  <c:v>199.98379924458524</c:v>
                </c:pt>
                <c:pt idx="8">
                  <c:v>199.98272321378843</c:v>
                </c:pt>
              </c:numCache>
            </c:numRef>
          </c:yVal>
          <c:smooth val="0"/>
          <c:extLst>
            <c:ext xmlns:c16="http://schemas.microsoft.com/office/drawing/2014/chart" uri="{C3380CC4-5D6E-409C-BE32-E72D297353CC}">
              <c16:uniqueId val="{00000003-3AE8-4F79-A57C-0C697B57F275}"/>
            </c:ext>
          </c:extLst>
        </c:ser>
        <c:dLbls>
          <c:showLegendKey val="0"/>
          <c:showVal val="0"/>
          <c:showCatName val="0"/>
          <c:showSerName val="0"/>
          <c:showPercent val="0"/>
          <c:showBubbleSize val="0"/>
        </c:dLbls>
        <c:axId val="127335808"/>
        <c:axId val="185947648"/>
      </c:scatterChart>
      <c:valAx>
        <c:axId val="127335808"/>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85947648"/>
        <c:crosses val="autoZero"/>
        <c:crossBetween val="midCat"/>
      </c:valAx>
      <c:valAx>
        <c:axId val="185947648"/>
        <c:scaling>
          <c:orientation val="minMax"/>
        </c:scaling>
        <c:delete val="0"/>
        <c:axPos val="l"/>
        <c:majorGridlines/>
        <c:title>
          <c:tx>
            <c:rich>
              <a:bodyPr rot="-5400000" vert="horz"/>
              <a:lstStyle/>
              <a:p>
                <a:pPr>
                  <a:defRPr/>
                </a:pPr>
                <a:r>
                  <a:rPr lang="en-US" baseline="0"/>
                  <a:t>kg</a:t>
                </a:r>
                <a:r>
                  <a:rPr lang="en-US" baseline="30000"/>
                  <a:t>2</a:t>
                </a:r>
                <a:endParaRPr lang="en-US"/>
              </a:p>
            </c:rich>
          </c:tx>
          <c:overlay val="0"/>
        </c:title>
        <c:numFmt formatCode="0.0000" sourceLinked="0"/>
        <c:majorTickMark val="out"/>
        <c:minorTickMark val="none"/>
        <c:tickLblPos val="nextTo"/>
        <c:crossAx val="127335808"/>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26986</xdr:colOff>
      <xdr:row>26</xdr:row>
      <xdr:rowOff>79375</xdr:rowOff>
    </xdr:from>
    <xdr:to>
      <xdr:col>7</xdr:col>
      <xdr:colOff>952500</xdr:colOff>
      <xdr:row>55</xdr:row>
      <xdr:rowOff>28575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26986</xdr:colOff>
      <xdr:row>26</xdr:row>
      <xdr:rowOff>79375</xdr:rowOff>
    </xdr:from>
    <xdr:to>
      <xdr:col>7</xdr:col>
      <xdr:colOff>952500</xdr:colOff>
      <xdr:row>55</xdr:row>
      <xdr:rowOff>28575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60"/>
  <sheetViews>
    <sheetView showGridLines="0" tabSelected="1" zoomScale="110" zoomScaleNormal="110" workbookViewId="0">
      <selection activeCell="C9" sqref="C9"/>
    </sheetView>
  </sheetViews>
  <sheetFormatPr defaultRowHeight="15" x14ac:dyDescent="0.25"/>
  <cols>
    <col min="1" max="1" width="27.71093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30" width="9.140625" style="1"/>
    <col min="31" max="32" width="0" style="1" hidden="1" customWidth="1"/>
    <col min="33" max="16384" width="9.140625" style="1"/>
  </cols>
  <sheetData>
    <row r="1" spans="1:32" ht="18.75" customHeight="1" thickBot="1" x14ac:dyDescent="0.3">
      <c r="A1" s="290" t="s">
        <v>55</v>
      </c>
      <c r="B1" s="291"/>
      <c r="C1" s="291"/>
      <c r="D1" s="291"/>
      <c r="E1" s="291"/>
      <c r="F1" s="291"/>
      <c r="G1" s="291"/>
      <c r="H1" s="291"/>
      <c r="I1" s="292"/>
      <c r="J1" s="290" t="s">
        <v>125</v>
      </c>
      <c r="K1" s="291"/>
      <c r="L1" s="291"/>
      <c r="M1" s="291"/>
      <c r="N1" s="291"/>
      <c r="O1" s="291"/>
      <c r="P1" s="292"/>
      <c r="AE1" s="1">
        <v>1</v>
      </c>
      <c r="AF1" s="1">
        <v>1</v>
      </c>
    </row>
    <row r="2" spans="1:32" ht="18.75" customHeight="1" x14ac:dyDescent="0.25">
      <c r="A2" s="2" t="s">
        <v>147</v>
      </c>
      <c r="B2" s="119">
        <v>350000</v>
      </c>
      <c r="C2" s="3" t="s">
        <v>50</v>
      </c>
      <c r="D2" s="190">
        <f>B2*0.0001450377</f>
        <v>50.763195000000003</v>
      </c>
      <c r="E2" s="3" t="s">
        <v>72</v>
      </c>
      <c r="F2" s="3" t="s">
        <v>127</v>
      </c>
      <c r="G2" s="168">
        <f>IF(OR(B3=1,B3=4),B2,B2+C33)</f>
        <v>350000</v>
      </c>
      <c r="H2" s="169" t="s">
        <v>146</v>
      </c>
      <c r="I2" s="119">
        <v>5000</v>
      </c>
      <c r="J2" s="6"/>
      <c r="K2" s="186" t="s">
        <v>145</v>
      </c>
      <c r="L2" s="186" t="str">
        <f>"U("&amp;B10&amp;") (Pa)"</f>
        <v>U(95) (Pa)</v>
      </c>
      <c r="M2" s="186" t="str">
        <f>"U("&amp;B10&amp;") (PPM)"</f>
        <v>U(95) (PPM)</v>
      </c>
      <c r="N2" s="7"/>
      <c r="O2" s="6"/>
      <c r="P2" s="8"/>
      <c r="AE2" s="1">
        <v>2</v>
      </c>
      <c r="AF2" s="1">
        <v>2</v>
      </c>
    </row>
    <row r="3" spans="1:32" ht="18.75" customHeight="1" x14ac:dyDescent="0.25">
      <c r="A3" s="9" t="s">
        <v>63</v>
      </c>
      <c r="B3" s="120">
        <v>1</v>
      </c>
      <c r="C3" s="10" t="s">
        <v>198</v>
      </c>
      <c r="D3" s="11"/>
      <c r="E3" s="11"/>
      <c r="F3" s="11"/>
      <c r="G3" s="11"/>
      <c r="H3" s="89" t="s">
        <v>72</v>
      </c>
      <c r="I3" s="93">
        <f>I2*0.0001450377</f>
        <v>0.72518850000000001</v>
      </c>
      <c r="J3" s="165" t="s">
        <v>142</v>
      </c>
      <c r="K3" s="187">
        <f>B2</f>
        <v>350000</v>
      </c>
      <c r="L3" s="188">
        <f>M48</f>
        <v>3.8119232040860496</v>
      </c>
      <c r="M3" s="193">
        <f>L3/K3*1000000</f>
        <v>10.891209154531571</v>
      </c>
      <c r="N3" s="293" t="str">
        <f>IF(B3=1,"Absolute by application of vacuum mode",IF(B3=2,"Gauge mode",IF(B3=3,"Absolute by addition of barometric pressure mode",IF(B3=4,"Differential Mode",""))))</f>
        <v>Absolute by application of vacuum mode</v>
      </c>
      <c r="O3" s="293"/>
      <c r="P3" s="294"/>
      <c r="AE3" s="1">
        <v>3</v>
      </c>
      <c r="AF3" s="1">
        <v>3</v>
      </c>
    </row>
    <row r="4" spans="1:32" ht="18.75" customHeight="1" x14ac:dyDescent="0.25">
      <c r="A4" s="15" t="str">
        <f>"Media :"&amp;IF(B4=1,"gas",IF(B4=2,"oil",IF(B4=3,"water")))</f>
        <v>Media :gas</v>
      </c>
      <c r="B4" s="121">
        <v>1</v>
      </c>
      <c r="C4" s="13" t="s">
        <v>161</v>
      </c>
      <c r="D4" s="13"/>
      <c r="E4" s="13"/>
      <c r="F4" s="13"/>
      <c r="H4" s="1" t="s">
        <v>158</v>
      </c>
      <c r="I4" s="14"/>
      <c r="J4" s="165" t="s">
        <v>143</v>
      </c>
      <c r="K4" s="187">
        <f>Unccalc2!B2</f>
        <v>175000</v>
      </c>
      <c r="L4" s="188">
        <f>Unccalc2!M48</f>
        <v>1.9139968936833975</v>
      </c>
      <c r="M4" s="193">
        <f t="shared" ref="M4:M5" si="0">L4/K4*1000000</f>
        <v>10.937125106762272</v>
      </c>
      <c r="N4" s="293"/>
      <c r="O4" s="293"/>
      <c r="P4" s="294"/>
      <c r="AE4" s="1">
        <v>4</v>
      </c>
    </row>
    <row r="5" spans="1:32" ht="18.75" customHeight="1" x14ac:dyDescent="0.25">
      <c r="A5" s="15" t="s">
        <v>95</v>
      </c>
      <c r="B5" s="117">
        <f>C31/C15</f>
        <v>10001.519608043111</v>
      </c>
      <c r="C5" s="13" t="s">
        <v>96</v>
      </c>
      <c r="D5" s="13">
        <f>B5*0.0001450377</f>
        <v>1.4505974004554743</v>
      </c>
      <c r="E5" s="13" t="s">
        <v>97</v>
      </c>
      <c r="F5" s="13"/>
      <c r="G5" s="13" t="s">
        <v>121</v>
      </c>
      <c r="H5" s="16"/>
      <c r="I5" s="14"/>
      <c r="J5" s="269" t="s">
        <v>144</v>
      </c>
      <c r="K5" s="270">
        <f>Unccalc3!B2</f>
        <v>5000</v>
      </c>
      <c r="L5" s="271">
        <f>Unccalc3!M48</f>
        <v>0.22104251338549369</v>
      </c>
      <c r="M5" s="272">
        <f t="shared" si="0"/>
        <v>44.208502677098735</v>
      </c>
      <c r="N5" s="293"/>
      <c r="O5" s="293"/>
      <c r="P5" s="294"/>
    </row>
    <row r="6" spans="1:32" ht="18.75" customHeight="1" x14ac:dyDescent="0.25">
      <c r="A6" s="15" t="s">
        <v>117</v>
      </c>
      <c r="B6" s="189">
        <v>916</v>
      </c>
      <c r="C6" s="13" t="s">
        <v>118</v>
      </c>
      <c r="D6" s="13"/>
      <c r="E6" s="13"/>
      <c r="F6" s="13"/>
      <c r="G6" s="13" t="s">
        <v>122</v>
      </c>
      <c r="H6" s="17"/>
      <c r="I6" s="14"/>
      <c r="J6" s="13"/>
      <c r="K6" s="166"/>
      <c r="L6" s="13"/>
      <c r="M6" s="13"/>
      <c r="N6" s="295" t="str">
        <f>IF(AND(OR(B3=1,B3=4),B4&gt;1),"WARNING: YOU CANNOT HAVE ABSOLUTE MODE BY VAC OR DIFF AND NON GAS MEDIA","")</f>
        <v/>
      </c>
      <c r="O6" s="295"/>
      <c r="P6" s="296"/>
    </row>
    <row r="7" spans="1:32" ht="18.75" customHeight="1" thickBot="1" x14ac:dyDescent="0.3">
      <c r="A7" s="15" t="s">
        <v>110</v>
      </c>
      <c r="B7" s="123">
        <v>0.1</v>
      </c>
      <c r="C7" s="13" t="s">
        <v>45</v>
      </c>
      <c r="D7" s="18">
        <f>B7/0.254</f>
        <v>0.39370078740157483</v>
      </c>
      <c r="E7" s="13" t="s">
        <v>111</v>
      </c>
      <c r="F7" s="13"/>
      <c r="G7" s="13" t="s">
        <v>123</v>
      </c>
      <c r="H7" s="13" t="s">
        <v>124</v>
      </c>
      <c r="I7" s="14"/>
      <c r="J7" s="265" t="s">
        <v>197</v>
      </c>
      <c r="K7" s="304" t="s">
        <v>234</v>
      </c>
      <c r="L7" s="305"/>
      <c r="M7" s="13"/>
      <c r="N7" s="295"/>
      <c r="O7" s="295"/>
      <c r="P7" s="296"/>
    </row>
    <row r="8" spans="1:32" ht="18.75" customHeight="1" thickBot="1" x14ac:dyDescent="0.3">
      <c r="A8" s="15" t="s">
        <v>79</v>
      </c>
      <c r="B8" s="124">
        <v>20</v>
      </c>
      <c r="C8" s="13" t="s">
        <v>91</v>
      </c>
      <c r="D8" s="13"/>
      <c r="E8" s="13"/>
      <c r="F8" s="13"/>
      <c r="G8" s="13"/>
      <c r="H8" s="13"/>
      <c r="I8" s="14" t="s">
        <v>159</v>
      </c>
      <c r="J8" s="13"/>
      <c r="K8" s="194" t="str">
        <f>TEXT(LINEST(L3:L5,K3:K5,TRUE),"0.0000%")&amp;" of rdg"</f>
        <v>0.0010% of rdg</v>
      </c>
      <c r="L8" s="276" t="str">
        <f>"+ "&amp;TEXT(INTERCEPT(L3:L5,K3:K5),"0.0#")&amp;" Pa"</f>
        <v>+ 0.14 Pa</v>
      </c>
      <c r="M8" s="275"/>
      <c r="N8" s="295"/>
      <c r="O8" s="295"/>
      <c r="P8" s="296"/>
    </row>
    <row r="9" spans="1:32" ht="18.75" customHeight="1" x14ac:dyDescent="0.25">
      <c r="A9" s="15" t="s">
        <v>80</v>
      </c>
      <c r="B9" s="124">
        <v>5</v>
      </c>
      <c r="C9" s="13" t="s">
        <v>162</v>
      </c>
      <c r="D9" s="13"/>
      <c r="E9" s="13"/>
      <c r="F9" s="13"/>
      <c r="G9" s="13"/>
      <c r="H9" s="13"/>
      <c r="I9" s="191">
        <v>1</v>
      </c>
      <c r="J9" s="13"/>
      <c r="K9" s="13"/>
      <c r="L9" s="13"/>
      <c r="M9" s="306"/>
      <c r="N9" s="295"/>
      <c r="O9" s="295"/>
      <c r="P9" s="296"/>
    </row>
    <row r="10" spans="1:32" ht="18.75" customHeight="1" thickBot="1" x14ac:dyDescent="0.3">
      <c r="A10" s="19" t="s">
        <v>81</v>
      </c>
      <c r="B10" s="125">
        <v>95</v>
      </c>
      <c r="C10" s="20" t="s">
        <v>82</v>
      </c>
      <c r="D10" s="20"/>
      <c r="E10" s="20"/>
      <c r="F10" s="20"/>
      <c r="G10" s="20"/>
      <c r="H10" s="20"/>
      <c r="I10" s="192">
        <f>I9/0.0001450377</f>
        <v>6894.7590867753688</v>
      </c>
      <c r="J10" s="20"/>
      <c r="K10" s="20"/>
      <c r="L10" s="20"/>
      <c r="M10" s="307"/>
      <c r="N10" s="22"/>
      <c r="O10" s="20"/>
      <c r="P10" s="21"/>
    </row>
    <row r="11" spans="1:32" ht="18.75" customHeight="1" thickBot="1" x14ac:dyDescent="0.3">
      <c r="A11" s="297" t="s">
        <v>0</v>
      </c>
      <c r="B11" s="298"/>
      <c r="C11" s="298"/>
      <c r="D11" s="303"/>
      <c r="E11" s="297" t="s">
        <v>68</v>
      </c>
      <c r="F11" s="298"/>
      <c r="G11" s="298"/>
      <c r="H11" s="298"/>
      <c r="I11" s="298"/>
      <c r="J11" s="292"/>
      <c r="K11" s="286" t="s">
        <v>1</v>
      </c>
      <c r="L11" s="287"/>
      <c r="M11" s="288"/>
      <c r="N11" s="287"/>
      <c r="O11" s="287"/>
      <c r="P11" s="289"/>
    </row>
    <row r="12" spans="1:32"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32"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32" ht="18.75" customHeight="1" thickBot="1" x14ac:dyDescent="0.3">
      <c r="A14" s="290" t="s">
        <v>14</v>
      </c>
      <c r="B14" s="291"/>
      <c r="C14" s="291"/>
      <c r="D14" s="292"/>
      <c r="E14" s="103"/>
      <c r="F14" s="104"/>
      <c r="G14" s="104"/>
      <c r="H14" s="105"/>
      <c r="I14" s="105"/>
      <c r="J14" s="106"/>
      <c r="K14" s="107"/>
      <c r="L14" s="108"/>
      <c r="M14" s="108"/>
      <c r="N14" s="109"/>
      <c r="O14" s="108"/>
      <c r="P14" s="110"/>
    </row>
    <row r="15" spans="1:32" ht="18.75" customHeight="1" x14ac:dyDescent="0.25">
      <c r="A15" s="31" t="s">
        <v>213</v>
      </c>
      <c r="B15" s="32" t="s">
        <v>160</v>
      </c>
      <c r="C15" s="126">
        <v>9.8051600000000007E-4</v>
      </c>
      <c r="D15" s="33" t="s">
        <v>17</v>
      </c>
      <c r="E15" s="129">
        <v>8.9999999999999998E-4</v>
      </c>
      <c r="F15" s="34" t="str">
        <f>IF(G15=1,"%",IF(G15=2,D15,"ERR"))</f>
        <v>%</v>
      </c>
      <c r="G15" s="133">
        <v>1</v>
      </c>
      <c r="H15" s="134">
        <v>1</v>
      </c>
      <c r="I15" s="35">
        <f>IF(G15=1,E15/100*C15,E15)</f>
        <v>8.8246440000000003E-9</v>
      </c>
      <c r="J15" s="36">
        <f>IF(H15=1,I15/2,I15/SQRT(3))</f>
        <v>4.4123220000000001E-9</v>
      </c>
      <c r="K15" s="31" t="s">
        <v>87</v>
      </c>
      <c r="L15" s="35">
        <f>1/C15*B$2</f>
        <v>356954909.45583755</v>
      </c>
      <c r="M15" s="37">
        <f>L15*J15</f>
        <v>1.5750000000000002</v>
      </c>
      <c r="N15" s="148">
        <v>30</v>
      </c>
      <c r="O15" s="35">
        <f>M15^2</f>
        <v>2.4806250000000007</v>
      </c>
      <c r="P15" s="38">
        <f>SQRT(O15)/B$2*2000000</f>
        <v>9</v>
      </c>
    </row>
    <row r="16" spans="1:32" ht="18.75" customHeight="1" x14ac:dyDescent="0.25">
      <c r="A16" s="39" t="s">
        <v>214</v>
      </c>
      <c r="B16" s="40" t="s">
        <v>19</v>
      </c>
      <c r="C16" s="127">
        <v>4.5000000000000001E-6</v>
      </c>
      <c r="D16" s="41" t="s">
        <v>61</v>
      </c>
      <c r="E16" s="130">
        <v>2</v>
      </c>
      <c r="F16" s="42" t="str">
        <f>IF(G16=1,"%",IF(G16=2,D16,"ERR"))</f>
        <v>%</v>
      </c>
      <c r="G16" s="135">
        <v>1</v>
      </c>
      <c r="H16" s="136">
        <v>2</v>
      </c>
      <c r="I16" s="43">
        <f>IF(G16=1,E16/100*C16,E16)</f>
        <v>8.9999999999999999E-8</v>
      </c>
      <c r="J16" s="44">
        <f>IF(H16=1,I16/2,I16/SQRT(3))</f>
        <v>5.1961524227066319E-8</v>
      </c>
      <c r="K16" s="39" t="s">
        <v>78</v>
      </c>
      <c r="L16" s="43">
        <f>(C18-B8)*B2</f>
        <v>1750000</v>
      </c>
      <c r="M16" s="45">
        <f>L16*J16</f>
        <v>9.0932667397366052E-2</v>
      </c>
      <c r="N16" s="145">
        <v>30</v>
      </c>
      <c r="O16" s="43">
        <f t="shared" ref="O16:O45" si="1">M16^2</f>
        <v>8.2687499999999983E-3</v>
      </c>
      <c r="P16" s="46">
        <f>SQRT(O16)/B$2*2000000</f>
        <v>0.51961524227066314</v>
      </c>
    </row>
    <row r="17" spans="1:19" ht="18.75" customHeight="1" x14ac:dyDescent="0.25">
      <c r="A17" s="39" t="s">
        <v>215</v>
      </c>
      <c r="B17" s="40" t="s">
        <v>21</v>
      </c>
      <c r="C17" s="139">
        <v>4.5000000000000001E-6</v>
      </c>
      <c r="D17" s="41" t="s">
        <v>61</v>
      </c>
      <c r="E17" s="130">
        <v>2</v>
      </c>
      <c r="F17" s="42" t="str">
        <f t="shared" ref="F17:F24" si="2">IF(G17=1,"%",IF(G17=2,D17,"ERR"))</f>
        <v>%</v>
      </c>
      <c r="G17" s="135">
        <v>1</v>
      </c>
      <c r="H17" s="136">
        <v>2</v>
      </c>
      <c r="I17" s="43">
        <f t="shared" ref="I17:I24" si="3">IF(G17=1,E17/100*C17,E17)</f>
        <v>8.9999999999999999E-8</v>
      </c>
      <c r="J17" s="44">
        <f t="shared" ref="J17:J45" si="4">IF(H17=1,I17/2,I17/SQRT(3))</f>
        <v>5.1961524227066319E-8</v>
      </c>
      <c r="K17" s="39" t="s">
        <v>78</v>
      </c>
      <c r="L17" s="43">
        <f>(C18-B8)*B2</f>
        <v>1750000</v>
      </c>
      <c r="M17" s="45">
        <f t="shared" ref="M17:M24" si="5">L17*J17</f>
        <v>9.0932667397366052E-2</v>
      </c>
      <c r="N17" s="145">
        <v>30</v>
      </c>
      <c r="O17" s="43">
        <f t="shared" si="1"/>
        <v>8.2687499999999983E-3</v>
      </c>
      <c r="P17" s="46">
        <f t="shared" ref="P17:P24" si="6">SQRT(O17)/B$2*2000000</f>
        <v>0.51961524227066314</v>
      </c>
    </row>
    <row r="18" spans="1:19" ht="18.75" customHeight="1" x14ac:dyDescent="0.25">
      <c r="A18" s="39" t="s">
        <v>211</v>
      </c>
      <c r="B18" s="47" t="s">
        <v>59</v>
      </c>
      <c r="C18" s="67">
        <f>B8+B9</f>
        <v>25</v>
      </c>
      <c r="D18" s="48" t="s">
        <v>60</v>
      </c>
      <c r="E18" s="130">
        <v>0.1</v>
      </c>
      <c r="F18" s="42" t="str">
        <f t="shared" si="2"/>
        <v>°C</v>
      </c>
      <c r="G18" s="135">
        <v>2</v>
      </c>
      <c r="H18" s="136">
        <v>1</v>
      </c>
      <c r="I18" s="43">
        <f t="shared" si="3"/>
        <v>0.1</v>
      </c>
      <c r="J18" s="44">
        <f t="shared" si="4"/>
        <v>0.05</v>
      </c>
      <c r="K18" s="39" t="s">
        <v>83</v>
      </c>
      <c r="L18" s="43">
        <f>(C16+C17)*B2</f>
        <v>3.15</v>
      </c>
      <c r="M18" s="45">
        <f t="shared" si="5"/>
        <v>0.1575</v>
      </c>
      <c r="N18" s="145">
        <v>30</v>
      </c>
      <c r="O18" s="43">
        <f t="shared" si="1"/>
        <v>2.4806250000000002E-2</v>
      </c>
      <c r="P18" s="46">
        <f t="shared" si="6"/>
        <v>0.89999999999999991</v>
      </c>
    </row>
    <row r="19" spans="1:19" ht="18.75" customHeight="1" x14ac:dyDescent="0.25">
      <c r="A19" s="39" t="s">
        <v>217</v>
      </c>
      <c r="B19" s="49" t="s">
        <v>98</v>
      </c>
      <c r="C19" s="127">
        <v>4.1999999999999996E-6</v>
      </c>
      <c r="D19" s="50" t="s">
        <v>166</v>
      </c>
      <c r="E19" s="131">
        <v>10</v>
      </c>
      <c r="F19" s="42" t="str">
        <f t="shared" si="2"/>
        <v>%</v>
      </c>
      <c r="G19" s="135">
        <v>1</v>
      </c>
      <c r="H19" s="136">
        <v>1</v>
      </c>
      <c r="I19" s="43">
        <f t="shared" si="3"/>
        <v>4.2E-7</v>
      </c>
      <c r="J19" s="44">
        <f t="shared" si="4"/>
        <v>2.1E-7</v>
      </c>
      <c r="K19" s="39" t="s">
        <v>163</v>
      </c>
      <c r="L19" s="43">
        <f>B2^2</f>
        <v>122500000000</v>
      </c>
      <c r="M19" s="45">
        <f>L19*(J19/1000000)</f>
        <v>2.5724999999999998E-2</v>
      </c>
      <c r="N19" s="145">
        <v>30</v>
      </c>
      <c r="O19" s="43">
        <f t="shared" si="1"/>
        <v>6.6177562499999986E-4</v>
      </c>
      <c r="P19" s="46">
        <f t="shared" si="6"/>
        <v>0.14699999999999999</v>
      </c>
      <c r="R19" s="196"/>
      <c r="S19" s="195"/>
    </row>
    <row r="20" spans="1:19" ht="18.75" customHeight="1" x14ac:dyDescent="0.25">
      <c r="A20" s="39" t="s">
        <v>23</v>
      </c>
      <c r="B20" s="49" t="s">
        <v>24</v>
      </c>
      <c r="C20" s="127">
        <v>0</v>
      </c>
      <c r="D20" s="50" t="s">
        <v>167</v>
      </c>
      <c r="E20" s="131">
        <v>0</v>
      </c>
      <c r="F20" s="42" t="str">
        <f t="shared" si="2"/>
        <v>%</v>
      </c>
      <c r="G20" s="135">
        <v>1</v>
      </c>
      <c r="H20" s="136">
        <v>1</v>
      </c>
      <c r="I20" s="43">
        <f t="shared" si="3"/>
        <v>0</v>
      </c>
      <c r="J20" s="44">
        <f t="shared" si="4"/>
        <v>0</v>
      </c>
      <c r="K20" s="39" t="s">
        <v>164</v>
      </c>
      <c r="L20" s="43">
        <f>B2^3</f>
        <v>4.2875E+16</v>
      </c>
      <c r="M20" s="45">
        <f>L20*(J20/1000000^2)</f>
        <v>0</v>
      </c>
      <c r="N20" s="145">
        <v>30</v>
      </c>
      <c r="O20" s="43">
        <f t="shared" si="1"/>
        <v>0</v>
      </c>
      <c r="P20" s="46">
        <f t="shared" si="6"/>
        <v>0</v>
      </c>
    </row>
    <row r="21" spans="1:19" ht="18.75" customHeight="1" x14ac:dyDescent="0.25">
      <c r="A21" s="39" t="s">
        <v>216</v>
      </c>
      <c r="B21" s="47" t="s">
        <v>103</v>
      </c>
      <c r="C21" s="67">
        <f>B2</f>
        <v>350000</v>
      </c>
      <c r="D21" s="50" t="s">
        <v>50</v>
      </c>
      <c r="E21" s="131">
        <v>0</v>
      </c>
      <c r="F21" s="42" t="str">
        <f t="shared" ref="F21" si="7">IF(G21=1,"%",IF(G21=2,D21,"ERR"))</f>
        <v>%</v>
      </c>
      <c r="G21" s="135">
        <v>1</v>
      </c>
      <c r="H21" s="136">
        <v>1</v>
      </c>
      <c r="I21" s="43">
        <f t="shared" ref="I21" si="8">IF(G21=1,E21/100*C21,E21)</f>
        <v>0</v>
      </c>
      <c r="J21" s="44">
        <f t="shared" ref="J21" si="9">IF(H21=1,I21/2,I21/SQRT(3))</f>
        <v>0</v>
      </c>
      <c r="K21" s="39">
        <v>1</v>
      </c>
      <c r="L21" s="43">
        <v>1</v>
      </c>
      <c r="M21" s="45">
        <f t="shared" ref="M21" si="10">L21*J21</f>
        <v>0</v>
      </c>
      <c r="N21" s="145">
        <v>30</v>
      </c>
      <c r="O21" s="43">
        <f t="shared" ref="O21" si="11">M21^2</f>
        <v>0</v>
      </c>
      <c r="P21" s="46">
        <f t="shared" ref="P21" si="12">SQRT(O21)/B$2*2000000</f>
        <v>0</v>
      </c>
    </row>
    <row r="22" spans="1:19" ht="18.75" customHeight="1" x14ac:dyDescent="0.25">
      <c r="A22" s="39" t="s">
        <v>220</v>
      </c>
      <c r="B22" s="47" t="s">
        <v>103</v>
      </c>
      <c r="C22" s="67">
        <f>B2</f>
        <v>350000</v>
      </c>
      <c r="D22" s="50" t="s">
        <v>50</v>
      </c>
      <c r="E22" s="131">
        <v>1.5E-5</v>
      </c>
      <c r="F22" s="42" t="str">
        <f t="shared" si="2"/>
        <v>%</v>
      </c>
      <c r="G22" s="135">
        <v>1</v>
      </c>
      <c r="H22" s="136">
        <v>1</v>
      </c>
      <c r="I22" s="43">
        <f t="shared" si="3"/>
        <v>5.2499999999999998E-2</v>
      </c>
      <c r="J22" s="44">
        <f t="shared" si="4"/>
        <v>2.6249999999999999E-2</v>
      </c>
      <c r="K22" s="39">
        <v>1</v>
      </c>
      <c r="L22" s="43">
        <v>1</v>
      </c>
      <c r="M22" s="45">
        <f t="shared" si="5"/>
        <v>2.6249999999999999E-2</v>
      </c>
      <c r="N22" s="145">
        <v>30</v>
      </c>
      <c r="O22" s="43">
        <f t="shared" si="1"/>
        <v>6.890624999999999E-4</v>
      </c>
      <c r="P22" s="46">
        <f t="shared" si="6"/>
        <v>0.15</v>
      </c>
    </row>
    <row r="23" spans="1:19" ht="18.75" customHeight="1" x14ac:dyDescent="0.25">
      <c r="A23" s="39" t="s">
        <v>219</v>
      </c>
      <c r="B23" s="47" t="s">
        <v>103</v>
      </c>
      <c r="C23" s="67">
        <f>B2</f>
        <v>350000</v>
      </c>
      <c r="D23" s="50" t="s">
        <v>50</v>
      </c>
      <c r="E23" s="131">
        <v>6.0000000000000001E-3</v>
      </c>
      <c r="F23" s="42" t="str">
        <f t="shared" ref="F23" si="13">IF(G23=1,"%",IF(G23=2,D23,"ERR"))</f>
        <v>Pa</v>
      </c>
      <c r="G23" s="135">
        <v>2</v>
      </c>
      <c r="H23" s="136">
        <v>1</v>
      </c>
      <c r="I23" s="43">
        <f t="shared" ref="I23" si="14">IF(G23=1,E23/100*C23,E23)</f>
        <v>6.0000000000000001E-3</v>
      </c>
      <c r="J23" s="44">
        <f t="shared" ref="J23" si="15">IF(H23=1,I23/2,I23/SQRT(3))</f>
        <v>3.0000000000000001E-3</v>
      </c>
      <c r="K23" s="39">
        <v>1</v>
      </c>
      <c r="L23" s="43">
        <v>1</v>
      </c>
      <c r="M23" s="45">
        <f t="shared" ref="M23" si="16">L23*J23</f>
        <v>3.0000000000000001E-3</v>
      </c>
      <c r="N23" s="145">
        <v>30</v>
      </c>
      <c r="O23" s="43">
        <f t="shared" ref="O23" si="17">M23^2</f>
        <v>9.0000000000000002E-6</v>
      </c>
      <c r="P23" s="46">
        <f t="shared" ref="P23" si="18">SQRT(O23)/B$2*2000000</f>
        <v>1.7142857142857144E-2</v>
      </c>
    </row>
    <row r="24" spans="1:19" ht="18.75" customHeight="1" thickBot="1" x14ac:dyDescent="0.3">
      <c r="A24" s="52" t="s">
        <v>218</v>
      </c>
      <c r="B24" s="53" t="s">
        <v>16</v>
      </c>
      <c r="C24" s="67">
        <f>C15</f>
        <v>9.8051600000000007E-4</v>
      </c>
      <c r="D24" s="54" t="s">
        <v>17</v>
      </c>
      <c r="E24" s="273">
        <f>Historical_Ae!K14*100</f>
        <v>-4.6304915694569943E-5</v>
      </c>
      <c r="F24" s="55" t="str">
        <f t="shared" si="2"/>
        <v>%</v>
      </c>
      <c r="G24" s="137">
        <v>1</v>
      </c>
      <c r="H24" s="138">
        <v>2</v>
      </c>
      <c r="I24" s="56">
        <f t="shared" si="3"/>
        <v>-4.5402710717176948E-10</v>
      </c>
      <c r="J24" s="57">
        <f t="shared" si="4"/>
        <v>-2.6213267254500821E-10</v>
      </c>
      <c r="K24" s="52" t="s">
        <v>88</v>
      </c>
      <c r="L24" s="56">
        <f>1/C24*B$2</f>
        <v>356954909.45583755</v>
      </c>
      <c r="M24" s="58">
        <f t="shared" si="5"/>
        <v>-9.3569544393720117E-2</v>
      </c>
      <c r="N24" s="147">
        <v>30</v>
      </c>
      <c r="O24" s="56">
        <f t="shared" si="1"/>
        <v>8.7552596380483603E-3</v>
      </c>
      <c r="P24" s="59">
        <f t="shared" si="6"/>
        <v>0.53468311082125786</v>
      </c>
    </row>
    <row r="25" spans="1:19" ht="18.75" customHeight="1" thickBot="1" x14ac:dyDescent="0.3">
      <c r="A25" s="290" t="s">
        <v>26</v>
      </c>
      <c r="B25" s="291"/>
      <c r="C25" s="291"/>
      <c r="D25" s="292"/>
      <c r="E25" s="111"/>
      <c r="F25" s="112"/>
      <c r="G25" s="113"/>
      <c r="H25" s="114"/>
      <c r="I25" s="105"/>
      <c r="J25" s="106"/>
      <c r="K25" s="107"/>
      <c r="L25" s="108"/>
      <c r="M25" s="115"/>
      <c r="N25" s="109"/>
      <c r="O25" s="108"/>
      <c r="P25" s="110"/>
    </row>
    <row r="26" spans="1:19" ht="18.75" customHeight="1" x14ac:dyDescent="0.25">
      <c r="A26" s="60" t="s">
        <v>206</v>
      </c>
      <c r="B26" s="61" t="s">
        <v>28</v>
      </c>
      <c r="C26" s="62">
        <f>B2/B5</f>
        <v>34.994682179949322</v>
      </c>
      <c r="D26" s="63" t="s">
        <v>29</v>
      </c>
      <c r="E26" s="129">
        <v>5.0000000000000001E-4</v>
      </c>
      <c r="F26" s="34" t="str">
        <f>IF(G26=1,"%",IF(G26=2,D26,"ERR"))</f>
        <v>%</v>
      </c>
      <c r="G26" s="141">
        <v>1</v>
      </c>
      <c r="H26" s="142">
        <v>1</v>
      </c>
      <c r="I26" s="35">
        <f>IF(G26=1,E26/100*C26,E26)</f>
        <v>1.7497341089974663E-4</v>
      </c>
      <c r="J26" s="64">
        <f t="shared" si="4"/>
        <v>8.7486705449873317E-5</v>
      </c>
      <c r="K26" s="65" t="s">
        <v>165</v>
      </c>
      <c r="L26" s="66">
        <f>B5</f>
        <v>10001.519608043111</v>
      </c>
      <c r="M26" s="37">
        <f>L26*J26</f>
        <v>0.875</v>
      </c>
      <c r="N26" s="144">
        <v>30</v>
      </c>
      <c r="O26" s="66">
        <f t="shared" si="1"/>
        <v>0.765625</v>
      </c>
      <c r="P26" s="38">
        <f>M26/B$2*2000000</f>
        <v>5</v>
      </c>
    </row>
    <row r="27" spans="1:19" ht="18.75" customHeight="1" x14ac:dyDescent="0.25">
      <c r="A27" s="39" t="s">
        <v>226</v>
      </c>
      <c r="B27" s="49" t="s">
        <v>28</v>
      </c>
      <c r="C27" s="127">
        <f>C26</f>
        <v>34.994682179949322</v>
      </c>
      <c r="D27" s="50" t="s">
        <v>29</v>
      </c>
      <c r="E27" s="131">
        <v>0</v>
      </c>
      <c r="F27" s="42" t="str">
        <f>IF(G27=1,"%",IF(G27=2,D27,"ERR"))</f>
        <v>%</v>
      </c>
      <c r="G27" s="143">
        <v>1</v>
      </c>
      <c r="H27" s="136">
        <v>2</v>
      </c>
      <c r="I27" s="43">
        <f>IF(G27=1,E27/100*C27,E27)</f>
        <v>0</v>
      </c>
      <c r="J27" s="44">
        <f t="shared" si="4"/>
        <v>0</v>
      </c>
      <c r="K27" s="39" t="s">
        <v>165</v>
      </c>
      <c r="L27" s="43">
        <f>B5</f>
        <v>10001.519608043111</v>
      </c>
      <c r="M27" s="45">
        <f>L27*J27</f>
        <v>0</v>
      </c>
      <c r="N27" s="145">
        <v>30</v>
      </c>
      <c r="O27" s="43">
        <f t="shared" si="1"/>
        <v>0</v>
      </c>
      <c r="P27" s="46">
        <f>SQRT(O27)/B$2*2000000</f>
        <v>0</v>
      </c>
    </row>
    <row r="28" spans="1:19" ht="18.75" customHeight="1" x14ac:dyDescent="0.25">
      <c r="A28" s="39" t="s">
        <v>233</v>
      </c>
      <c r="B28" s="49" t="s">
        <v>28</v>
      </c>
      <c r="C28" s="127">
        <v>0</v>
      </c>
      <c r="D28" s="50" t="s">
        <v>29</v>
      </c>
      <c r="E28" s="131">
        <v>0</v>
      </c>
      <c r="F28" s="42" t="str">
        <f t="shared" ref="F28:F45" si="19">IF(G28=1,"%",IF(G28=2,D28,"ERR"))</f>
        <v>kg</v>
      </c>
      <c r="G28" s="143">
        <v>2</v>
      </c>
      <c r="H28" s="136">
        <v>1</v>
      </c>
      <c r="I28" s="43">
        <f t="shared" ref="I28:I38" si="20">IF(G28=1,E28/100*C28,E28)</f>
        <v>0</v>
      </c>
      <c r="J28" s="44">
        <f>IF(B$3=4,0,IF(H28=1,I28/2,I28/SQRT(3)))</f>
        <v>0</v>
      </c>
      <c r="K28" s="39" t="s">
        <v>165</v>
      </c>
      <c r="L28" s="43">
        <f>B5</f>
        <v>10001.519608043111</v>
      </c>
      <c r="M28" s="45">
        <f t="shared" ref="M28:M36" si="21">L28*J28</f>
        <v>0</v>
      </c>
      <c r="N28" s="145">
        <v>30</v>
      </c>
      <c r="O28" s="43">
        <f t="shared" si="1"/>
        <v>0</v>
      </c>
      <c r="P28" s="46">
        <f t="shared" ref="P28:P38" si="22">SQRT(O28)/B$2*2000000</f>
        <v>0</v>
      </c>
    </row>
    <row r="29" spans="1:19" ht="18.75" customHeight="1" x14ac:dyDescent="0.25">
      <c r="A29" s="39" t="s">
        <v>222</v>
      </c>
      <c r="B29" s="49" t="s">
        <v>28</v>
      </c>
      <c r="C29" s="127">
        <v>5.0000000000000004E-6</v>
      </c>
      <c r="D29" s="50" t="s">
        <v>29</v>
      </c>
      <c r="E29" s="274">
        <v>5.0000000000000004E-6</v>
      </c>
      <c r="F29" s="42" t="str">
        <f t="shared" si="19"/>
        <v>kg</v>
      </c>
      <c r="G29" s="143">
        <v>2</v>
      </c>
      <c r="H29" s="136">
        <v>1</v>
      </c>
      <c r="I29" s="43">
        <f t="shared" ref="I29:I30" si="23">IF(G29=1,E29/100*C29,E29)</f>
        <v>5.0000000000000004E-6</v>
      </c>
      <c r="J29" s="44">
        <f t="shared" ref="J29:J30" si="24">IF(B$3=4,0,IF(H29=1,I29/2,I29/SQRT(3)))</f>
        <v>2.5000000000000002E-6</v>
      </c>
      <c r="K29" s="39" t="s">
        <v>165</v>
      </c>
      <c r="L29" s="43">
        <f>B5</f>
        <v>10001.519608043111</v>
      </c>
      <c r="M29" s="45">
        <f t="shared" ref="M29:M30" si="25">L29*J29</f>
        <v>2.500379902010778E-2</v>
      </c>
      <c r="N29" s="145">
        <v>30</v>
      </c>
      <c r="O29" s="43">
        <f t="shared" ref="O29:O30" si="26">M29^2</f>
        <v>6.2518996543794276E-4</v>
      </c>
      <c r="P29" s="46">
        <f t="shared" ref="P29:P30" si="27">SQRT(O29)/B$2*2000000</f>
        <v>0.14287885154347302</v>
      </c>
    </row>
    <row r="30" spans="1:19" ht="18.75" customHeight="1" x14ac:dyDescent="0.25">
      <c r="A30" s="39" t="s">
        <v>221</v>
      </c>
      <c r="B30" s="49" t="s">
        <v>28</v>
      </c>
      <c r="C30" s="127">
        <v>5.0000000000000004E-6</v>
      </c>
      <c r="D30" s="50" t="s">
        <v>29</v>
      </c>
      <c r="E30" s="131">
        <v>5.0000000000000004E-6</v>
      </c>
      <c r="F30" s="42" t="str">
        <f t="shared" si="19"/>
        <v>kg</v>
      </c>
      <c r="G30" s="143">
        <v>2</v>
      </c>
      <c r="H30" s="136">
        <v>1</v>
      </c>
      <c r="I30" s="43">
        <f t="shared" si="23"/>
        <v>5.0000000000000004E-6</v>
      </c>
      <c r="J30" s="44">
        <f t="shared" si="24"/>
        <v>2.5000000000000002E-6</v>
      </c>
      <c r="K30" s="39" t="s">
        <v>165</v>
      </c>
      <c r="L30" s="43">
        <f>B5</f>
        <v>10001.519608043111</v>
      </c>
      <c r="M30" s="45">
        <f t="shared" si="25"/>
        <v>2.500379902010778E-2</v>
      </c>
      <c r="N30" s="145">
        <v>30</v>
      </c>
      <c r="O30" s="43">
        <f t="shared" si="26"/>
        <v>6.2518996543794276E-4</v>
      </c>
      <c r="P30" s="46">
        <f t="shared" si="27"/>
        <v>0.14287885154347302</v>
      </c>
    </row>
    <row r="31" spans="1:19" ht="18.75" customHeight="1" x14ac:dyDescent="0.25">
      <c r="A31" s="39" t="s">
        <v>207</v>
      </c>
      <c r="B31" s="49" t="s">
        <v>31</v>
      </c>
      <c r="C31" s="127">
        <v>9.8066499999999994</v>
      </c>
      <c r="D31" s="50" t="s">
        <v>32</v>
      </c>
      <c r="E31" s="131">
        <v>2.0000000000000001E-4</v>
      </c>
      <c r="F31" s="42" t="str">
        <f t="shared" si="19"/>
        <v>%</v>
      </c>
      <c r="G31" s="143">
        <v>1</v>
      </c>
      <c r="H31" s="136">
        <v>1</v>
      </c>
      <c r="I31" s="43">
        <f t="shared" si="20"/>
        <v>1.9613299999999997E-5</v>
      </c>
      <c r="J31" s="44">
        <f t="shared" si="4"/>
        <v>9.8066499999999987E-6</v>
      </c>
      <c r="K31" s="39" t="s">
        <v>89</v>
      </c>
      <c r="L31" s="43">
        <f>1/C31*B2</f>
        <v>35690.067454227494</v>
      </c>
      <c r="M31" s="45">
        <f t="shared" si="21"/>
        <v>0.35</v>
      </c>
      <c r="N31" s="145">
        <v>30</v>
      </c>
      <c r="O31" s="43">
        <f t="shared" si="1"/>
        <v>0.12249999999999998</v>
      </c>
      <c r="P31" s="46">
        <f t="shared" si="22"/>
        <v>2</v>
      </c>
    </row>
    <row r="32" spans="1:19" ht="18.75" customHeight="1" x14ac:dyDescent="0.25">
      <c r="A32" s="39" t="s">
        <v>208</v>
      </c>
      <c r="B32" s="51" t="s">
        <v>34</v>
      </c>
      <c r="C32" s="127">
        <f>IF(OR(B3=1,B3=4),0,1.2)</f>
        <v>0</v>
      </c>
      <c r="D32" s="50" t="s">
        <v>35</v>
      </c>
      <c r="E32" s="131">
        <v>0</v>
      </c>
      <c r="F32" s="42" t="str">
        <f t="shared" si="19"/>
        <v>kg/m3</v>
      </c>
      <c r="G32" s="143">
        <v>2</v>
      </c>
      <c r="H32" s="136">
        <v>1</v>
      </c>
      <c r="I32" s="43">
        <f t="shared" si="20"/>
        <v>0</v>
      </c>
      <c r="J32" s="44">
        <f>IF(OR(B$3=1,B3=4),0,IF(H32=1,I32/2,I32/SQRT(3)))</f>
        <v>0</v>
      </c>
      <c r="K32" s="68" t="s">
        <v>90</v>
      </c>
      <c r="L32" s="43">
        <f>1/C36*B2</f>
        <v>44.19191919191919</v>
      </c>
      <c r="M32" s="45">
        <f t="shared" si="21"/>
        <v>0</v>
      </c>
      <c r="N32" s="145">
        <v>30</v>
      </c>
      <c r="O32" s="43">
        <f t="shared" si="1"/>
        <v>0</v>
      </c>
      <c r="P32" s="46">
        <f t="shared" si="22"/>
        <v>0</v>
      </c>
    </row>
    <row r="33" spans="1:16" ht="18.75" customHeight="1" x14ac:dyDescent="0.25">
      <c r="A33" s="39" t="s">
        <v>223</v>
      </c>
      <c r="B33" s="69" t="s">
        <v>75</v>
      </c>
      <c r="C33" s="127">
        <v>101325</v>
      </c>
      <c r="D33" s="50" t="s">
        <v>50</v>
      </c>
      <c r="E33" s="131">
        <v>200</v>
      </c>
      <c r="F33" s="42" t="str">
        <f t="shared" si="19"/>
        <v>Pa</v>
      </c>
      <c r="G33" s="143">
        <v>2</v>
      </c>
      <c r="H33" s="136">
        <v>1</v>
      </c>
      <c r="I33" s="43">
        <f t="shared" si="20"/>
        <v>200</v>
      </c>
      <c r="J33" s="44">
        <f>IF(E$32=0,IF(OR(B$3=1,B$3=4),0,IF(H33=1,I33/2,I33/SQRT(3))),0)</f>
        <v>0</v>
      </c>
      <c r="K33" s="118" t="s">
        <v>131</v>
      </c>
      <c r="L33" s="43">
        <f>0.0000015*B2</f>
        <v>0.52500000000000002</v>
      </c>
      <c r="M33" s="45">
        <f>L33*J33/1000</f>
        <v>0</v>
      </c>
      <c r="N33" s="145">
        <v>30</v>
      </c>
      <c r="O33" s="43">
        <f t="shared" si="1"/>
        <v>0</v>
      </c>
      <c r="P33" s="46">
        <f t="shared" si="22"/>
        <v>0</v>
      </c>
    </row>
    <row r="34" spans="1:16" ht="18.75" customHeight="1" x14ac:dyDescent="0.25">
      <c r="A34" s="39" t="s">
        <v>224</v>
      </c>
      <c r="B34" s="69" t="s">
        <v>76</v>
      </c>
      <c r="C34" s="127">
        <v>23</v>
      </c>
      <c r="D34" s="48" t="s">
        <v>60</v>
      </c>
      <c r="E34" s="131">
        <v>1</v>
      </c>
      <c r="F34" s="42" t="str">
        <f t="shared" si="19"/>
        <v>°C</v>
      </c>
      <c r="G34" s="143">
        <v>2</v>
      </c>
      <c r="H34" s="136">
        <v>1</v>
      </c>
      <c r="I34" s="43">
        <f t="shared" si="20"/>
        <v>1</v>
      </c>
      <c r="J34" s="44">
        <f t="shared" ref="J34:J35" si="28">IF(E$32=0,IF(OR(B$3=1,B$3=4),0,IF(H34=1,I34/2,I34/SQRT(3))),0)</f>
        <v>0</v>
      </c>
      <c r="K34" s="118" t="s">
        <v>132</v>
      </c>
      <c r="L34" s="43">
        <f>0.00000055*B2</f>
        <v>0.1925</v>
      </c>
      <c r="M34" s="45">
        <f t="shared" si="21"/>
        <v>0</v>
      </c>
      <c r="N34" s="145">
        <v>30</v>
      </c>
      <c r="O34" s="43">
        <f t="shared" si="1"/>
        <v>0</v>
      </c>
      <c r="P34" s="46">
        <f t="shared" si="22"/>
        <v>0</v>
      </c>
    </row>
    <row r="35" spans="1:16" ht="18.75" customHeight="1" x14ac:dyDescent="0.25">
      <c r="A35" s="39" t="s">
        <v>225</v>
      </c>
      <c r="B35" s="69" t="s">
        <v>77</v>
      </c>
      <c r="C35" s="127">
        <v>50</v>
      </c>
      <c r="D35" s="50" t="s">
        <v>112</v>
      </c>
      <c r="E35" s="131">
        <v>10</v>
      </c>
      <c r="F35" s="70" t="str">
        <f t="shared" si="19"/>
        <v>%RH</v>
      </c>
      <c r="G35" s="143">
        <v>2</v>
      </c>
      <c r="H35" s="136">
        <v>1</v>
      </c>
      <c r="I35" s="43">
        <f t="shared" si="20"/>
        <v>10</v>
      </c>
      <c r="J35" s="44">
        <f t="shared" si="28"/>
        <v>0</v>
      </c>
      <c r="K35" s="118" t="s">
        <v>133</v>
      </c>
      <c r="L35" s="43">
        <f>0.000000012*B2</f>
        <v>4.1999999999999997E-3</v>
      </c>
      <c r="M35" s="45">
        <f t="shared" si="21"/>
        <v>0</v>
      </c>
      <c r="N35" s="145">
        <v>30</v>
      </c>
      <c r="O35" s="43">
        <f t="shared" si="1"/>
        <v>0</v>
      </c>
      <c r="P35" s="46">
        <f t="shared" si="22"/>
        <v>0</v>
      </c>
    </row>
    <row r="36" spans="1:16" ht="18.75" customHeight="1" x14ac:dyDescent="0.25">
      <c r="A36" s="39" t="s">
        <v>209</v>
      </c>
      <c r="B36" s="51" t="s">
        <v>36</v>
      </c>
      <c r="C36" s="127">
        <v>7920</v>
      </c>
      <c r="D36" s="50" t="s">
        <v>35</v>
      </c>
      <c r="E36" s="131">
        <v>40</v>
      </c>
      <c r="F36" s="70" t="str">
        <f t="shared" si="19"/>
        <v>kg/m3</v>
      </c>
      <c r="G36" s="143">
        <v>2</v>
      </c>
      <c r="H36" s="136">
        <v>1</v>
      </c>
      <c r="I36" s="43">
        <f t="shared" si="20"/>
        <v>40</v>
      </c>
      <c r="J36" s="44">
        <f>IF(OR(B3=1,B3=4),IF(H36=1,I36/2,I36/SQRT(3)),0)</f>
        <v>20</v>
      </c>
      <c r="K36" s="68" t="s">
        <v>93</v>
      </c>
      <c r="L36" s="43">
        <f>1.2/C36^2*B2</f>
        <v>6.6957453321089683E-3</v>
      </c>
      <c r="M36" s="45">
        <f t="shared" si="21"/>
        <v>0.13391490664217937</v>
      </c>
      <c r="N36" s="145">
        <v>30</v>
      </c>
      <c r="O36" s="43">
        <f t="shared" si="1"/>
        <v>1.7933202220983616E-2</v>
      </c>
      <c r="P36" s="46">
        <f t="shared" si="22"/>
        <v>0.76522803795531069</v>
      </c>
    </row>
    <row r="37" spans="1:16" ht="18.75" customHeight="1" x14ac:dyDescent="0.25">
      <c r="A37" s="71" t="s">
        <v>232</v>
      </c>
      <c r="B37" s="72" t="s">
        <v>114</v>
      </c>
      <c r="C37" s="139">
        <v>3.2000000000000001E-2</v>
      </c>
      <c r="D37" s="73" t="s">
        <v>115</v>
      </c>
      <c r="E37" s="140">
        <v>10</v>
      </c>
      <c r="F37" s="70" t="str">
        <f t="shared" ref="F37" si="29">IF(G37=1,"%",IF(G37=2,D37,"ERR"))</f>
        <v>%</v>
      </c>
      <c r="G37" s="143">
        <v>1</v>
      </c>
      <c r="H37" s="136">
        <v>1</v>
      </c>
      <c r="I37" s="43">
        <f t="shared" ref="I37" si="30">IF(G37=1,E37/100*C37,E37)</f>
        <v>3.2000000000000002E-3</v>
      </c>
      <c r="J37" s="44">
        <f>IF(OR(B3=1,B3=4),0,IF(OR(B4=2,B4=3),IF(H37=1,I37/2,I37/SQRT(3)),0))</f>
        <v>0</v>
      </c>
      <c r="K37" s="116" t="s">
        <v>126</v>
      </c>
      <c r="L37" s="74">
        <f>(PI()*SQRT(C15/PI())*2)/C15</f>
        <v>113.20812293971888</v>
      </c>
      <c r="M37" s="75">
        <f>L37*J37</f>
        <v>0</v>
      </c>
      <c r="N37" s="146">
        <v>30</v>
      </c>
      <c r="O37" s="74">
        <f t="shared" si="1"/>
        <v>0</v>
      </c>
      <c r="P37" s="76">
        <f t="shared" si="22"/>
        <v>0</v>
      </c>
    </row>
    <row r="38" spans="1:16" ht="18.75" customHeight="1" thickBot="1" x14ac:dyDescent="0.3">
      <c r="A38" s="52" t="s">
        <v>212</v>
      </c>
      <c r="B38" s="77" t="s">
        <v>38</v>
      </c>
      <c r="C38" s="128">
        <v>0</v>
      </c>
      <c r="D38" s="54" t="s">
        <v>39</v>
      </c>
      <c r="E38" s="132">
        <v>0.16700000000000001</v>
      </c>
      <c r="F38" s="55" t="str">
        <f t="shared" si="19"/>
        <v>deg.</v>
      </c>
      <c r="G38" s="137">
        <v>2</v>
      </c>
      <c r="H38" s="138">
        <v>1</v>
      </c>
      <c r="I38" s="56">
        <f t="shared" si="20"/>
        <v>0.16700000000000001</v>
      </c>
      <c r="J38" s="57">
        <f t="shared" si="4"/>
        <v>8.3500000000000005E-2</v>
      </c>
      <c r="K38" s="52" t="s">
        <v>109</v>
      </c>
      <c r="L38" s="56">
        <f>(1-COS(RADIANS(J38)))*B2</f>
        <v>0.37167697509721265</v>
      </c>
      <c r="M38" s="58">
        <f>L38</f>
        <v>0.37167697509721265</v>
      </c>
      <c r="N38" s="147">
        <v>30</v>
      </c>
      <c r="O38" s="56">
        <f t="shared" si="1"/>
        <v>0.13814377381741402</v>
      </c>
      <c r="P38" s="59">
        <f t="shared" si="22"/>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231</v>
      </c>
      <c r="B40" s="51" t="s">
        <v>42</v>
      </c>
      <c r="C40" s="67">
        <f>IF(B4=2,B6,IF(B4=3,998.2123,1.1647*G2/101325))</f>
        <v>4.0231433506044905</v>
      </c>
      <c r="D40" s="50" t="s">
        <v>35</v>
      </c>
      <c r="E40" s="149">
        <v>0.1</v>
      </c>
      <c r="F40" s="78" t="str">
        <f t="shared" si="19"/>
        <v>%</v>
      </c>
      <c r="G40" s="150">
        <v>1</v>
      </c>
      <c r="H40" s="136">
        <v>1</v>
      </c>
      <c r="I40" s="35">
        <f>IF(G40=1,E40/100*C40,E40)</f>
        <v>4.0231433506044906E-3</v>
      </c>
      <c r="J40" s="44">
        <f t="shared" si="4"/>
        <v>2.0115716753022453E-3</v>
      </c>
      <c r="K40" s="39" t="s">
        <v>120</v>
      </c>
      <c r="L40" s="43">
        <f>C15*C41/C26*B2</f>
        <v>0.98066500000000012</v>
      </c>
      <c r="M40" s="37">
        <f>L40*J40</f>
        <v>1.9726779369602767E-3</v>
      </c>
      <c r="N40" s="145">
        <v>30</v>
      </c>
      <c r="O40" s="43">
        <f t="shared" si="1"/>
        <v>3.8914582429698534E-6</v>
      </c>
      <c r="P40" s="38">
        <f>SQRT(O40)/B$2*2000000</f>
        <v>1.1272445354058724E-2</v>
      </c>
    </row>
    <row r="41" spans="1:16" ht="18.75" customHeight="1" x14ac:dyDescent="0.25">
      <c r="A41" s="39" t="s">
        <v>210</v>
      </c>
      <c r="B41" s="49" t="s">
        <v>44</v>
      </c>
      <c r="C41" s="67">
        <f>B7</f>
        <v>0.1</v>
      </c>
      <c r="D41" s="50" t="s">
        <v>45</v>
      </c>
      <c r="E41" s="131">
        <v>0.01</v>
      </c>
      <c r="F41" s="70" t="str">
        <f t="shared" si="19"/>
        <v>m</v>
      </c>
      <c r="G41" s="143">
        <v>2</v>
      </c>
      <c r="H41" s="136">
        <v>1</v>
      </c>
      <c r="I41" s="43">
        <f>IF(G41=1,E41/100*C41,E41)</f>
        <v>0.01</v>
      </c>
      <c r="J41" s="44">
        <f t="shared" si="4"/>
        <v>5.0000000000000001E-3</v>
      </c>
      <c r="K41" s="39" t="s">
        <v>130</v>
      </c>
      <c r="L41" s="43">
        <f>IF(B3=1,C31*C40,(C40-C32)*C31)</f>
        <v>39.453558739205526</v>
      </c>
      <c r="M41" s="45">
        <f>L41*J41</f>
        <v>0.19726779369602765</v>
      </c>
      <c r="N41" s="145">
        <v>30</v>
      </c>
      <c r="O41" s="43">
        <f t="shared" si="1"/>
        <v>3.8914582429698523E-2</v>
      </c>
      <c r="P41" s="46">
        <f>SQRT(O41)/B$2*2000000</f>
        <v>1.1272445354058722</v>
      </c>
    </row>
    <row r="42" spans="1:16" ht="18.75" customHeight="1" x14ac:dyDescent="0.25">
      <c r="A42" s="39" t="s">
        <v>227</v>
      </c>
      <c r="B42" s="49" t="s">
        <v>47</v>
      </c>
      <c r="C42" s="127">
        <v>7.0000000000000001E-3</v>
      </c>
      <c r="D42" s="50" t="s">
        <v>45</v>
      </c>
      <c r="E42" s="131">
        <v>1E-4</v>
      </c>
      <c r="F42" s="70" t="str">
        <f t="shared" si="19"/>
        <v>m</v>
      </c>
      <c r="G42" s="143">
        <v>2</v>
      </c>
      <c r="H42" s="136">
        <v>1</v>
      </c>
      <c r="I42" s="43">
        <f t="shared" ref="I42:I44" si="31">IF(G42=1,E42/100*C42,E42)</f>
        <v>1E-4</v>
      </c>
      <c r="J42" s="44">
        <f t="shared" si="4"/>
        <v>5.0000000000000002E-5</v>
      </c>
      <c r="K42" s="39" t="s">
        <v>130</v>
      </c>
      <c r="L42" s="43">
        <f>IF(B3=1,C31*C40,(C40-C32)*C31)</f>
        <v>39.453558739205526</v>
      </c>
      <c r="M42" s="45">
        <f t="shared" ref="M42:M45" si="32">L42*J42</f>
        <v>1.9726779369602762E-3</v>
      </c>
      <c r="N42" s="145">
        <v>30</v>
      </c>
      <c r="O42" s="43">
        <f t="shared" si="1"/>
        <v>3.8914582429698517E-6</v>
      </c>
      <c r="P42" s="46">
        <f t="shared" ref="P42:P45" si="33">SQRT(O42)/B$2*2000000</f>
        <v>1.1272445354058721E-2</v>
      </c>
    </row>
    <row r="43" spans="1:16" ht="18.75" customHeight="1" x14ac:dyDescent="0.25">
      <c r="A43" s="39" t="s">
        <v>228</v>
      </c>
      <c r="B43" s="49" t="s">
        <v>66</v>
      </c>
      <c r="C43" s="43">
        <f>C33</f>
        <v>101325</v>
      </c>
      <c r="D43" s="50" t="s">
        <v>50</v>
      </c>
      <c r="E43" s="131">
        <v>10</v>
      </c>
      <c r="F43" s="70" t="str">
        <f t="shared" si="19"/>
        <v>Pa</v>
      </c>
      <c r="G43" s="143">
        <v>2</v>
      </c>
      <c r="H43" s="136">
        <v>1</v>
      </c>
      <c r="I43" s="43">
        <f t="shared" si="31"/>
        <v>10</v>
      </c>
      <c r="J43" s="44">
        <f>IF(B3=3,IF(H43=1,I43/2,I43/SQRT(3)),0)</f>
        <v>0</v>
      </c>
      <c r="K43" s="39">
        <v>1</v>
      </c>
      <c r="L43" s="43">
        <v>1</v>
      </c>
      <c r="M43" s="45">
        <f t="shared" si="32"/>
        <v>0</v>
      </c>
      <c r="N43" s="145">
        <v>30</v>
      </c>
      <c r="O43" s="43">
        <f t="shared" si="1"/>
        <v>0</v>
      </c>
      <c r="P43" s="46">
        <f t="shared" si="33"/>
        <v>0</v>
      </c>
    </row>
    <row r="44" spans="1:16" ht="18.75" customHeight="1" x14ac:dyDescent="0.25">
      <c r="A44" s="39" t="s">
        <v>229</v>
      </c>
      <c r="B44" s="49" t="s">
        <v>49</v>
      </c>
      <c r="C44" s="127">
        <v>2</v>
      </c>
      <c r="D44" s="50" t="s">
        <v>50</v>
      </c>
      <c r="E44" s="131">
        <v>10</v>
      </c>
      <c r="F44" s="70" t="str">
        <f t="shared" si="19"/>
        <v>%</v>
      </c>
      <c r="G44" s="143">
        <v>1</v>
      </c>
      <c r="H44" s="136">
        <v>1</v>
      </c>
      <c r="I44" s="43">
        <f t="shared" si="31"/>
        <v>0.2</v>
      </c>
      <c r="J44" s="44">
        <f>IF(B4&lt;&gt;1,0,IF(B3=1,IF(H44=1,I44/2,I44/SQRT(3)),0))</f>
        <v>0.1</v>
      </c>
      <c r="K44" s="39">
        <v>1</v>
      </c>
      <c r="L44" s="43">
        <v>1</v>
      </c>
      <c r="M44" s="45">
        <f t="shared" si="32"/>
        <v>0.1</v>
      </c>
      <c r="N44" s="145">
        <v>30</v>
      </c>
      <c r="O44" s="43">
        <f t="shared" si="1"/>
        <v>1.0000000000000002E-2</v>
      </c>
      <c r="P44" s="46">
        <f t="shared" si="33"/>
        <v>0.57142857142857151</v>
      </c>
    </row>
    <row r="45" spans="1:16" ht="18.75" customHeight="1" thickBot="1" x14ac:dyDescent="0.3">
      <c r="A45" s="71" t="s">
        <v>199</v>
      </c>
      <c r="B45" s="79" t="s">
        <v>103</v>
      </c>
      <c r="C45" s="266">
        <f>B2</f>
        <v>350000</v>
      </c>
      <c r="D45" s="73" t="s">
        <v>50</v>
      </c>
      <c r="E45" s="132">
        <v>0.4</v>
      </c>
      <c r="F45" s="80" t="str">
        <f t="shared" si="19"/>
        <v>Pa</v>
      </c>
      <c r="G45" s="151">
        <v>2</v>
      </c>
      <c r="H45" s="152">
        <v>1</v>
      </c>
      <c r="I45" s="43">
        <f>IF(B3=4,IF(G45=1,E45/100*C45,E45),0)</f>
        <v>0</v>
      </c>
      <c r="J45" s="81">
        <f t="shared" si="4"/>
        <v>0</v>
      </c>
      <c r="K45" s="71">
        <v>1</v>
      </c>
      <c r="L45" s="74">
        <v>1</v>
      </c>
      <c r="M45" s="75">
        <f t="shared" si="32"/>
        <v>0</v>
      </c>
      <c r="N45" s="146">
        <v>30</v>
      </c>
      <c r="O45" s="74">
        <f t="shared" si="1"/>
        <v>0</v>
      </c>
      <c r="P45" s="76">
        <f t="shared" si="33"/>
        <v>0</v>
      </c>
    </row>
    <row r="46" spans="1:16" x14ac:dyDescent="0.25">
      <c r="A46" s="277" t="s">
        <v>168</v>
      </c>
      <c r="B46" s="278"/>
      <c r="C46" s="278"/>
      <c r="D46" s="278"/>
      <c r="E46" s="278"/>
      <c r="F46" s="278"/>
      <c r="G46" s="278"/>
      <c r="H46" s="278"/>
      <c r="I46" s="278"/>
      <c r="J46" s="279"/>
      <c r="K46" s="84"/>
      <c r="L46" s="85" t="s">
        <v>51</v>
      </c>
      <c r="M46" s="86">
        <f>SUM(O15:O45)</f>
        <v>3.6264585690785061</v>
      </c>
      <c r="N46" s="87" t="s">
        <v>50</v>
      </c>
      <c r="O46" s="6"/>
      <c r="P46" s="88" t="s">
        <v>100</v>
      </c>
    </row>
    <row r="47" spans="1:16" x14ac:dyDescent="0.25">
      <c r="A47" s="280"/>
      <c r="B47" s="281"/>
      <c r="C47" s="281"/>
      <c r="D47" s="281"/>
      <c r="E47" s="281"/>
      <c r="F47" s="281"/>
      <c r="G47" s="281"/>
      <c r="H47" s="281"/>
      <c r="I47" s="281"/>
      <c r="J47" s="282"/>
      <c r="K47" s="90"/>
      <c r="L47" s="89" t="s">
        <v>52</v>
      </c>
      <c r="M47" s="91">
        <f>SQRT(M46)</f>
        <v>1.9043262769490175</v>
      </c>
      <c r="N47" s="92" t="s">
        <v>50</v>
      </c>
      <c r="O47" s="13" t="s">
        <v>99</v>
      </c>
      <c r="P47" s="93">
        <f>TINV((100-B10)/100,VALUE(P48))</f>
        <v>2.0017174841452352</v>
      </c>
    </row>
    <row r="48" spans="1:16" ht="15.75" thickBot="1" x14ac:dyDescent="0.3">
      <c r="A48" s="280"/>
      <c r="B48" s="281"/>
      <c r="C48" s="281"/>
      <c r="D48" s="281"/>
      <c r="E48" s="281"/>
      <c r="F48" s="281"/>
      <c r="G48" s="281"/>
      <c r="H48" s="281"/>
      <c r="I48" s="281"/>
      <c r="J48" s="282"/>
      <c r="K48" s="90"/>
      <c r="L48" s="94" t="str">
        <f>"Expanded Uncertainty ("&amp;B10&amp;"%):"</f>
        <v>Expanded Uncertainty (95%):</v>
      </c>
      <c r="M48" s="95">
        <f>M47*P47</f>
        <v>3.8119232040860496</v>
      </c>
      <c r="N48" s="92" t="s">
        <v>50</v>
      </c>
      <c r="O48" s="20" t="s">
        <v>56</v>
      </c>
      <c r="P48" s="96">
        <f>M47^4/(M15^4/N15+M16^4/N16+M17^4/N17+M18^4/N18+M19^4/N19+M20^4/N20+M22^4/N22+M24^4/N24+M26^4/N26+M27^4/N27+M28^4/N28+M31^4/N31+M32^4/N32+M33^4/N33+M34^4/N34+M35^4/N35+M36^4/N36+M38^4/N38+M40^4/N40+M41^4/N41+M42^4/N42+M43^4/N43+M44^4/N44+M45^4/N45+M21^4/N21+M23^4/N23+M29^4/N29+M30^4/N30+M37^4/N37)</f>
        <v>58.22088372580162</v>
      </c>
    </row>
    <row r="49" spans="1:14" ht="15.75" thickBot="1" x14ac:dyDescent="0.3">
      <c r="A49" s="283"/>
      <c r="B49" s="284"/>
      <c r="C49" s="284"/>
      <c r="D49" s="284"/>
      <c r="E49" s="284"/>
      <c r="F49" s="284"/>
      <c r="G49" s="284"/>
      <c r="H49" s="284"/>
      <c r="I49" s="284"/>
      <c r="J49" s="285"/>
      <c r="K49" s="97"/>
      <c r="L49" s="98" t="str">
        <f>"Expanded Uncertainty ("&amp;B10&amp;"%):"</f>
        <v>Expanded Uncertainty (95%):</v>
      </c>
      <c r="M49" s="99">
        <f>M47*P47/B2*1000000</f>
        <v>10.891209154531571</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15">
    <mergeCell ref="A46:J49"/>
    <mergeCell ref="K11:P11"/>
    <mergeCell ref="A14:D14"/>
    <mergeCell ref="A1:I1"/>
    <mergeCell ref="J1:P1"/>
    <mergeCell ref="A25:D25"/>
    <mergeCell ref="N3:P5"/>
    <mergeCell ref="N6:P9"/>
    <mergeCell ref="A39:D39"/>
    <mergeCell ref="E11:J11"/>
    <mergeCell ref="E12:F12"/>
    <mergeCell ref="E13:F13"/>
    <mergeCell ref="A11:D11"/>
    <mergeCell ref="K7:L7"/>
    <mergeCell ref="M9:M10"/>
  </mergeCells>
  <conditionalFormatting sqref="A32:P35">
    <cfRule type="expression" dxfId="44" priority="7">
      <formula>$B$3=4</formula>
    </cfRule>
    <cfRule type="expression" dxfId="43" priority="19">
      <formula>$B$3=1</formula>
    </cfRule>
  </conditionalFormatting>
  <conditionalFormatting sqref="A36:P36">
    <cfRule type="expression" dxfId="42" priority="17">
      <formula>$B$3=3</formula>
    </cfRule>
    <cfRule type="expression" dxfId="41" priority="18">
      <formula>$B$3=2</formula>
    </cfRule>
  </conditionalFormatting>
  <conditionalFormatting sqref="A37:P37">
    <cfRule type="expression" dxfId="40" priority="14">
      <formula>$B$3=1</formula>
    </cfRule>
    <cfRule type="expression" dxfId="39" priority="15">
      <formula>$B$4=1</formula>
    </cfRule>
  </conditionalFormatting>
  <conditionalFormatting sqref="A33:P35">
    <cfRule type="expression" dxfId="38" priority="13">
      <formula>$E$32&lt;&gt;0</formula>
    </cfRule>
  </conditionalFormatting>
  <conditionalFormatting sqref="A43:P43">
    <cfRule type="expression" dxfId="37" priority="12">
      <formula>$B$3&lt;&gt;3</formula>
    </cfRule>
  </conditionalFormatting>
  <conditionalFormatting sqref="A44:P44">
    <cfRule type="expression" dxfId="36" priority="10">
      <formula>$B$4&lt;&gt;1</formula>
    </cfRule>
    <cfRule type="expression" dxfId="35" priority="11">
      <formula>$B$3&lt;&gt;1</formula>
    </cfRule>
  </conditionalFormatting>
  <conditionalFormatting sqref="A45:P45">
    <cfRule type="expression" dxfId="34" priority="5">
      <formula>$B$3&lt;&gt;4</formula>
    </cfRule>
  </conditionalFormatting>
  <conditionalFormatting sqref="A28:P30">
    <cfRule type="expression" dxfId="33" priority="4">
      <formula>$B$3=4</formula>
    </cfRule>
  </conditionalFormatting>
  <conditionalFormatting sqref="C27">
    <cfRule type="expression" dxfId="32" priority="3">
      <formula>$B$3=4</formula>
    </cfRule>
  </conditionalFormatting>
  <conditionalFormatting sqref="E27">
    <cfRule type="expression" dxfId="31" priority="2">
      <formula>$B$3=4</formula>
    </cfRule>
  </conditionalFormatting>
  <conditionalFormatting sqref="C32">
    <cfRule type="expression" dxfId="30" priority="1">
      <formula>$E$32&lt;&gt;0</formula>
    </cfRule>
  </conditionalFormatting>
  <dataValidations count="3">
    <dataValidation type="list" allowBlank="1" showInputMessage="1" showErrorMessage="1" promptTitle="1 is AVAC, 2 is G, 3  is AATM" sqref="B3">
      <formula1>$AE$1:$AE$4</formula1>
    </dataValidation>
    <dataValidation type="list" allowBlank="1" showInputMessage="1" showErrorMessage="1" sqref="B4">
      <formula1>$AF$1:$AF$3</formula1>
    </dataValidation>
    <dataValidation type="whole" allowBlank="1" showInputMessage="1" showErrorMessage="1" sqref="G15:H24 G26:H38 G40:H45">
      <formula1>1</formula1>
      <formula2>2</formula2>
    </dataValidation>
  </dataValidations>
  <pageMargins left="0.25" right="0.25" top="0.75" bottom="0.75" header="0.3" footer="0.3"/>
  <pageSetup scale="57" orientation="landscape" r:id="rId1"/>
  <ignoredErrors>
    <ignoredError sqref="C21:C24 C41 C4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60"/>
  <sheetViews>
    <sheetView showGridLines="0" topLeftCell="A19" zoomScale="90" zoomScaleNormal="90" workbookViewId="0">
      <selection activeCell="L36" sqref="L36"/>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90" t="s">
        <v>55</v>
      </c>
      <c r="B1" s="291"/>
      <c r="C1" s="291"/>
      <c r="D1" s="291"/>
      <c r="E1" s="291"/>
      <c r="F1" s="291"/>
      <c r="G1" s="291"/>
      <c r="H1" s="291"/>
      <c r="I1" s="292"/>
      <c r="J1"/>
      <c r="K1"/>
      <c r="L1"/>
      <c r="M1"/>
      <c r="N1"/>
      <c r="O1"/>
      <c r="P1"/>
    </row>
    <row r="2" spans="1:16" ht="18.75" customHeight="1" x14ac:dyDescent="0.25">
      <c r="A2" s="2" t="s">
        <v>53</v>
      </c>
      <c r="B2" s="119">
        <f>0.5*Unccalc1!B2</f>
        <v>175000</v>
      </c>
      <c r="C2" s="3" t="s">
        <v>50</v>
      </c>
      <c r="D2" s="4">
        <f>B2*0.0001450377</f>
        <v>25.381597500000002</v>
      </c>
      <c r="E2" s="3" t="s">
        <v>72</v>
      </c>
      <c r="F2" s="3" t="s">
        <v>127</v>
      </c>
      <c r="G2" s="3">
        <f>IF(B3=1,B2,B2+C33)</f>
        <v>175000</v>
      </c>
      <c r="H2" s="3"/>
      <c r="I2" s="5"/>
      <c r="J2"/>
      <c r="K2"/>
      <c r="L2"/>
      <c r="M2"/>
      <c r="N2"/>
      <c r="O2"/>
      <c r="P2"/>
    </row>
    <row r="3" spans="1:16" ht="18.75" customHeight="1" x14ac:dyDescent="0.25">
      <c r="A3" s="9" t="s">
        <v>63</v>
      </c>
      <c r="B3" s="120">
        <f>Unccalc1!B3</f>
        <v>1</v>
      </c>
      <c r="C3" s="10" t="s">
        <v>64</v>
      </c>
      <c r="D3" s="11"/>
      <c r="E3" s="11"/>
      <c r="F3" s="11"/>
      <c r="G3" s="11"/>
      <c r="H3" s="10"/>
      <c r="I3" s="12"/>
      <c r="J3"/>
      <c r="K3"/>
      <c r="L3"/>
      <c r="M3"/>
      <c r="N3"/>
      <c r="O3"/>
      <c r="P3"/>
    </row>
    <row r="4" spans="1:16" ht="18.75" customHeight="1" x14ac:dyDescent="0.25">
      <c r="A4" s="15" t="str">
        <f>"Media :"&amp;IF(B4=1,"gas",IF(B4=2,"oil",IF(B4=3,"water")))</f>
        <v>Media :gas</v>
      </c>
      <c r="B4" s="121">
        <f>Unccalc1!B4</f>
        <v>1</v>
      </c>
      <c r="C4" s="13" t="s">
        <v>116</v>
      </c>
      <c r="D4" s="13"/>
      <c r="E4" s="13"/>
      <c r="F4" s="13"/>
      <c r="G4" s="13" t="s">
        <v>121</v>
      </c>
      <c r="H4" s="16"/>
      <c r="I4" s="14"/>
      <c r="J4"/>
      <c r="K4"/>
      <c r="L4"/>
      <c r="M4"/>
      <c r="N4"/>
      <c r="O4"/>
      <c r="P4"/>
    </row>
    <row r="5" spans="1:16" ht="18.75" customHeight="1" x14ac:dyDescent="0.25">
      <c r="A5" s="15" t="s">
        <v>95</v>
      </c>
      <c r="B5" s="117">
        <f>C31/C15</f>
        <v>10001.519608043111</v>
      </c>
      <c r="C5" s="13" t="s">
        <v>96</v>
      </c>
      <c r="D5" s="13">
        <f>B5*0.0001450377</f>
        <v>1.4505974004554743</v>
      </c>
      <c r="E5" s="13" t="s">
        <v>97</v>
      </c>
      <c r="F5" s="13"/>
      <c r="G5" s="13" t="s">
        <v>122</v>
      </c>
      <c r="H5" s="17"/>
      <c r="I5" s="14"/>
      <c r="J5"/>
      <c r="K5"/>
      <c r="L5"/>
      <c r="M5"/>
      <c r="N5"/>
      <c r="O5"/>
      <c r="P5"/>
    </row>
    <row r="6" spans="1:16" ht="18.75" customHeight="1" x14ac:dyDescent="0.25">
      <c r="A6" s="15" t="s">
        <v>117</v>
      </c>
      <c r="B6" s="122">
        <f>Unccalc1!B6</f>
        <v>916</v>
      </c>
      <c r="C6" s="13" t="s">
        <v>118</v>
      </c>
      <c r="D6" s="13"/>
      <c r="E6" s="13"/>
      <c r="F6" s="13"/>
      <c r="G6" s="13" t="s">
        <v>123</v>
      </c>
      <c r="H6" s="13" t="s">
        <v>124</v>
      </c>
      <c r="I6" s="14"/>
      <c r="J6"/>
      <c r="K6"/>
      <c r="L6"/>
      <c r="M6"/>
      <c r="N6"/>
      <c r="O6"/>
      <c r="P6"/>
    </row>
    <row r="7" spans="1:16" ht="18.75" customHeight="1" x14ac:dyDescent="0.25">
      <c r="A7" s="15" t="s">
        <v>110</v>
      </c>
      <c r="B7" s="122">
        <f>Unccalc1!B7</f>
        <v>0.1</v>
      </c>
      <c r="C7" s="13" t="s">
        <v>45</v>
      </c>
      <c r="D7" s="18">
        <f>B7/0.254</f>
        <v>0.39370078740157483</v>
      </c>
      <c r="E7" s="13" t="s">
        <v>111</v>
      </c>
      <c r="F7" s="13"/>
      <c r="G7" s="13"/>
      <c r="H7" s="13"/>
      <c r="I7" s="14"/>
      <c r="J7"/>
      <c r="K7"/>
      <c r="L7"/>
      <c r="M7"/>
      <c r="N7"/>
      <c r="O7"/>
      <c r="P7"/>
    </row>
    <row r="8" spans="1:16" ht="18.75" customHeight="1" x14ac:dyDescent="0.25">
      <c r="A8" s="15" t="s">
        <v>79</v>
      </c>
      <c r="B8" s="122">
        <f>Unccalc1!B8</f>
        <v>20</v>
      </c>
      <c r="C8" s="13" t="s">
        <v>91</v>
      </c>
      <c r="D8" s="13"/>
      <c r="E8" s="13"/>
      <c r="F8" s="13"/>
      <c r="G8" s="13"/>
      <c r="H8" s="13"/>
      <c r="I8" s="14"/>
      <c r="J8"/>
      <c r="K8"/>
      <c r="L8"/>
      <c r="M8"/>
      <c r="N8"/>
      <c r="O8"/>
      <c r="P8"/>
    </row>
    <row r="9" spans="1:16" ht="18.75" customHeight="1" x14ac:dyDescent="0.25">
      <c r="A9" s="15" t="s">
        <v>80</v>
      </c>
      <c r="B9" s="122">
        <f>Unccalc1!B9</f>
        <v>5</v>
      </c>
      <c r="C9" s="13" t="s">
        <v>108</v>
      </c>
      <c r="D9" s="13"/>
      <c r="E9" s="13"/>
      <c r="F9" s="13"/>
      <c r="G9" s="13"/>
      <c r="H9" s="13"/>
      <c r="I9" s="14"/>
      <c r="J9"/>
      <c r="K9"/>
      <c r="L9"/>
      <c r="M9"/>
      <c r="N9"/>
      <c r="O9"/>
      <c r="P9"/>
    </row>
    <row r="10" spans="1:16" ht="18.75" customHeight="1" thickBot="1" x14ac:dyDescent="0.3">
      <c r="A10" s="19" t="s">
        <v>81</v>
      </c>
      <c r="B10" s="167">
        <f>Unccalc1!B10</f>
        <v>95</v>
      </c>
      <c r="C10" s="20" t="s">
        <v>82</v>
      </c>
      <c r="D10" s="20"/>
      <c r="E10" s="20"/>
      <c r="F10" s="20"/>
      <c r="G10" s="20"/>
      <c r="H10" s="20"/>
      <c r="I10" s="21"/>
      <c r="J10"/>
      <c r="K10"/>
      <c r="L10"/>
      <c r="M10"/>
      <c r="N10"/>
      <c r="O10"/>
      <c r="P10"/>
    </row>
    <row r="11" spans="1:16" ht="18.75" customHeight="1" thickBot="1" x14ac:dyDescent="0.3">
      <c r="A11" s="297" t="s">
        <v>0</v>
      </c>
      <c r="B11" s="298"/>
      <c r="C11" s="298"/>
      <c r="D11" s="303"/>
      <c r="E11" s="297" t="s">
        <v>68</v>
      </c>
      <c r="F11" s="298"/>
      <c r="G11" s="298"/>
      <c r="H11" s="298"/>
      <c r="I11" s="298"/>
      <c r="J11" s="292"/>
      <c r="K11" s="286" t="s">
        <v>1</v>
      </c>
      <c r="L11" s="287"/>
      <c r="M11" s="287"/>
      <c r="N11" s="287"/>
      <c r="O11" s="287"/>
      <c r="P11" s="289"/>
    </row>
    <row r="12" spans="1:16"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90" t="s">
        <v>14</v>
      </c>
      <c r="B14" s="291"/>
      <c r="C14" s="291"/>
      <c r="D14" s="292"/>
      <c r="E14" s="103"/>
      <c r="F14" s="104"/>
      <c r="G14" s="104"/>
      <c r="H14" s="105"/>
      <c r="I14" s="105"/>
      <c r="J14" s="106"/>
      <c r="K14" s="107"/>
      <c r="L14" s="108"/>
      <c r="M14" s="108"/>
      <c r="N14" s="109"/>
      <c r="O14" s="108"/>
      <c r="P14" s="110"/>
    </row>
    <row r="15" spans="1:16" ht="18.75" customHeight="1" x14ac:dyDescent="0.25">
      <c r="A15" s="31" t="s">
        <v>15</v>
      </c>
      <c r="B15" s="32" t="s">
        <v>16</v>
      </c>
      <c r="C15" s="126">
        <f>Unccalc1!C15</f>
        <v>9.8051600000000007E-4</v>
      </c>
      <c r="D15" s="33" t="s">
        <v>17</v>
      </c>
      <c r="E15" s="129">
        <f>Unccalc1!E15</f>
        <v>8.9999999999999998E-4</v>
      </c>
      <c r="F15" s="34" t="str">
        <f>IF(G15=1,"%",IF(G15=2,D15,"ERR"))</f>
        <v>%</v>
      </c>
      <c r="G15" s="133">
        <f>Unccalc1!G15</f>
        <v>1</v>
      </c>
      <c r="H15" s="134">
        <f>Unccalc1!H15</f>
        <v>1</v>
      </c>
      <c r="I15" s="35">
        <f>IF(G15=1,E15/100*C15,E15)</f>
        <v>8.8246440000000003E-9</v>
      </c>
      <c r="J15" s="36">
        <f>IF(H15=1,I15/2,I15/SQRT(3))</f>
        <v>4.4123220000000001E-9</v>
      </c>
      <c r="K15" s="31" t="s">
        <v>87</v>
      </c>
      <c r="L15" s="35">
        <f>1/C15*B$2</f>
        <v>178477454.72791877</v>
      </c>
      <c r="M15" s="37">
        <f>L15*J15</f>
        <v>0.78750000000000009</v>
      </c>
      <c r="N15" s="148">
        <f>Unccalc1!N15</f>
        <v>30</v>
      </c>
      <c r="O15" s="35">
        <f>M15^2</f>
        <v>0.62015625000000019</v>
      </c>
      <c r="P15" s="38">
        <f>SQRT(O15)/B$2*2000000</f>
        <v>9</v>
      </c>
    </row>
    <row r="16" spans="1:16" ht="18.75" customHeight="1" x14ac:dyDescent="0.25">
      <c r="A16" s="39" t="s">
        <v>18</v>
      </c>
      <c r="B16" s="40" t="s">
        <v>19</v>
      </c>
      <c r="C16" s="127">
        <f>Unccalc1!C16</f>
        <v>4.5000000000000001E-6</v>
      </c>
      <c r="D16" s="41" t="s">
        <v>61</v>
      </c>
      <c r="E16" s="130">
        <f>Unccalc1!E16</f>
        <v>2</v>
      </c>
      <c r="F16" s="42" t="str">
        <f>IF(G16=1,"%",IF(G16=2,D16,"ERR"))</f>
        <v>%</v>
      </c>
      <c r="G16" s="135">
        <f>Unccalc1!G16</f>
        <v>1</v>
      </c>
      <c r="H16" s="136">
        <f>Unccalc1!H16</f>
        <v>2</v>
      </c>
      <c r="I16" s="43">
        <f>IF(G16=1,E16/100*C16,E16)</f>
        <v>8.9999999999999999E-8</v>
      </c>
      <c r="J16" s="44">
        <f>IF(H16=1,I16/2,I16/SQRT(3))</f>
        <v>5.1961524227066319E-8</v>
      </c>
      <c r="K16" s="39" t="s">
        <v>78</v>
      </c>
      <c r="L16" s="43">
        <f>(C18-B8)*B2</f>
        <v>875000</v>
      </c>
      <c r="M16" s="45">
        <f>L16*J16</f>
        <v>4.5466333698683026E-2</v>
      </c>
      <c r="N16" s="145">
        <f>Unccalc1!N16</f>
        <v>30</v>
      </c>
      <c r="O16" s="43">
        <f t="shared" ref="O16:O45" si="0">M16^2</f>
        <v>2.0671874999999996E-3</v>
      </c>
      <c r="P16" s="46">
        <f>SQRT(O16)/B$2*2000000</f>
        <v>0.51961524227066314</v>
      </c>
    </row>
    <row r="17" spans="1:16" ht="18.75" customHeight="1" x14ac:dyDescent="0.25">
      <c r="A17" s="39" t="s">
        <v>20</v>
      </c>
      <c r="B17" s="40" t="s">
        <v>21</v>
      </c>
      <c r="C17" s="127">
        <f>Unccalc1!C17</f>
        <v>4.5000000000000001E-6</v>
      </c>
      <c r="D17" s="41" t="s">
        <v>61</v>
      </c>
      <c r="E17" s="130">
        <f>Unccalc1!E17</f>
        <v>2</v>
      </c>
      <c r="F17" s="42" t="str">
        <f t="shared" ref="F17:F24" si="1">IF(G17=1,"%",IF(G17=2,D17,"ERR"))</f>
        <v>%</v>
      </c>
      <c r="G17" s="135">
        <f>Unccalc1!G17</f>
        <v>1</v>
      </c>
      <c r="H17" s="136">
        <f>Unccalc1!H17</f>
        <v>2</v>
      </c>
      <c r="I17" s="43">
        <f t="shared" ref="I17:I24" si="2">IF(G17=1,E17/100*C17,E17)</f>
        <v>8.9999999999999999E-8</v>
      </c>
      <c r="J17" s="44">
        <f t="shared" ref="J17:J45" si="3">IF(H17=1,I17/2,I17/SQRT(3))</f>
        <v>5.1961524227066319E-8</v>
      </c>
      <c r="K17" s="39" t="s">
        <v>78</v>
      </c>
      <c r="L17" s="43">
        <f>(C18-B8)*B2</f>
        <v>875000</v>
      </c>
      <c r="M17" s="45">
        <f t="shared" ref="M17:M24" si="4">L17*J17</f>
        <v>4.5466333698683026E-2</v>
      </c>
      <c r="N17" s="145">
        <f>Unccalc1!N17</f>
        <v>30</v>
      </c>
      <c r="O17" s="43">
        <f t="shared" si="0"/>
        <v>2.0671874999999996E-3</v>
      </c>
      <c r="P17" s="46">
        <f t="shared" ref="P17:P24" si="5">SQRT(O17)/B$2*2000000</f>
        <v>0.51961524227066314</v>
      </c>
    </row>
    <row r="18" spans="1:16" ht="18.75" customHeight="1" x14ac:dyDescent="0.25">
      <c r="A18" s="39" t="s">
        <v>58</v>
      </c>
      <c r="B18" s="47" t="s">
        <v>59</v>
      </c>
      <c r="C18" s="127">
        <f>Unccalc1!C18</f>
        <v>25</v>
      </c>
      <c r="D18" s="48" t="s">
        <v>60</v>
      </c>
      <c r="E18" s="130">
        <f>Unccalc1!E18</f>
        <v>0.1</v>
      </c>
      <c r="F18" s="42" t="str">
        <f t="shared" si="1"/>
        <v>°C</v>
      </c>
      <c r="G18" s="135">
        <f>Unccalc1!G18</f>
        <v>2</v>
      </c>
      <c r="H18" s="136">
        <f>Unccalc1!H18</f>
        <v>1</v>
      </c>
      <c r="I18" s="43">
        <f t="shared" si="2"/>
        <v>0.1</v>
      </c>
      <c r="J18" s="44">
        <f t="shared" si="3"/>
        <v>0.05</v>
      </c>
      <c r="K18" s="39" t="s">
        <v>83</v>
      </c>
      <c r="L18" s="43">
        <f>(C16+C17)*B2</f>
        <v>1.575</v>
      </c>
      <c r="M18" s="45">
        <f t="shared" si="4"/>
        <v>7.8750000000000001E-2</v>
      </c>
      <c r="N18" s="145">
        <f>Unccalc1!N18</f>
        <v>30</v>
      </c>
      <c r="O18" s="43">
        <f t="shared" si="0"/>
        <v>6.2015625000000005E-3</v>
      </c>
      <c r="P18" s="46">
        <f t="shared" si="5"/>
        <v>0.89999999999999991</v>
      </c>
    </row>
    <row r="19" spans="1:16" ht="18.75" customHeight="1" x14ac:dyDescent="0.25">
      <c r="A19" s="39" t="s">
        <v>22</v>
      </c>
      <c r="B19" s="49" t="s">
        <v>98</v>
      </c>
      <c r="C19" s="127">
        <f>Unccalc1!C19</f>
        <v>4.1999999999999996E-6</v>
      </c>
      <c r="D19" s="50" t="s">
        <v>166</v>
      </c>
      <c r="E19" s="131">
        <f>Unccalc1!E19</f>
        <v>10</v>
      </c>
      <c r="F19" s="42" t="str">
        <f t="shared" si="1"/>
        <v>%</v>
      </c>
      <c r="G19" s="135">
        <f>Unccalc1!G19</f>
        <v>1</v>
      </c>
      <c r="H19" s="136">
        <f>Unccalc1!H19</f>
        <v>1</v>
      </c>
      <c r="I19" s="43">
        <f t="shared" si="2"/>
        <v>4.2E-7</v>
      </c>
      <c r="J19" s="44">
        <f t="shared" si="3"/>
        <v>2.1E-7</v>
      </c>
      <c r="K19" s="39" t="s">
        <v>163</v>
      </c>
      <c r="L19" s="43">
        <f>B2^2</f>
        <v>30625000000</v>
      </c>
      <c r="M19" s="45">
        <f>L19*(J19/1000000)</f>
        <v>6.4312499999999995E-3</v>
      </c>
      <c r="N19" s="145">
        <f>Unccalc1!N19</f>
        <v>30</v>
      </c>
      <c r="O19" s="43">
        <f t="shared" si="0"/>
        <v>4.1360976562499991E-5</v>
      </c>
      <c r="P19" s="46">
        <f t="shared" si="5"/>
        <v>7.3499999999999996E-2</v>
      </c>
    </row>
    <row r="20" spans="1:16" ht="18.75" customHeight="1" x14ac:dyDescent="0.25">
      <c r="A20" s="39" t="s">
        <v>23</v>
      </c>
      <c r="B20" s="49" t="s">
        <v>24</v>
      </c>
      <c r="C20" s="127">
        <f>Unccalc1!C20</f>
        <v>0</v>
      </c>
      <c r="D20" s="50" t="s">
        <v>167</v>
      </c>
      <c r="E20" s="131">
        <f>Unccalc1!E20</f>
        <v>0</v>
      </c>
      <c r="F20" s="42" t="str">
        <f t="shared" si="1"/>
        <v>%</v>
      </c>
      <c r="G20" s="135">
        <f>Unccalc1!G20</f>
        <v>1</v>
      </c>
      <c r="H20" s="136">
        <f>Unccalc1!H20</f>
        <v>1</v>
      </c>
      <c r="I20" s="43">
        <f t="shared" si="2"/>
        <v>0</v>
      </c>
      <c r="J20" s="44">
        <f t="shared" si="3"/>
        <v>0</v>
      </c>
      <c r="K20" s="39" t="s">
        <v>164</v>
      </c>
      <c r="L20" s="43">
        <f>B2^3</f>
        <v>5359375000000000</v>
      </c>
      <c r="M20" s="45">
        <f>L20*(J20/1000000^2)</f>
        <v>0</v>
      </c>
      <c r="N20" s="145">
        <f>Unccalc1!N20</f>
        <v>30</v>
      </c>
      <c r="O20" s="43">
        <f t="shared" si="0"/>
        <v>0</v>
      </c>
      <c r="P20" s="46">
        <f t="shared" si="5"/>
        <v>0</v>
      </c>
    </row>
    <row r="21" spans="1:16" ht="18.75" customHeight="1" x14ac:dyDescent="0.25">
      <c r="A21" s="39" t="s">
        <v>135</v>
      </c>
      <c r="B21" s="47" t="s">
        <v>103</v>
      </c>
      <c r="C21" s="127">
        <f>B2</f>
        <v>175000</v>
      </c>
      <c r="D21" s="50" t="s">
        <v>50</v>
      </c>
      <c r="E21" s="131">
        <f>Unccalc1!E21</f>
        <v>0</v>
      </c>
      <c r="F21" s="42" t="str">
        <f t="shared" si="1"/>
        <v>%</v>
      </c>
      <c r="G21" s="135">
        <f>Unccalc1!G21</f>
        <v>1</v>
      </c>
      <c r="H21" s="136">
        <f>Unccalc1!H21</f>
        <v>1</v>
      </c>
      <c r="I21" s="43">
        <f t="shared" si="2"/>
        <v>0</v>
      </c>
      <c r="J21" s="44">
        <f t="shared" si="3"/>
        <v>0</v>
      </c>
      <c r="K21" s="39">
        <v>1</v>
      </c>
      <c r="L21" s="43">
        <v>1</v>
      </c>
      <c r="M21" s="45">
        <f t="shared" si="4"/>
        <v>0</v>
      </c>
      <c r="N21" s="145">
        <f>Unccalc1!N21</f>
        <v>30</v>
      </c>
      <c r="O21" s="43">
        <f t="shared" si="0"/>
        <v>0</v>
      </c>
      <c r="P21" s="46">
        <f t="shared" si="5"/>
        <v>0</v>
      </c>
    </row>
    <row r="22" spans="1:16" ht="18.75" customHeight="1" x14ac:dyDescent="0.25">
      <c r="A22" s="39" t="s">
        <v>62</v>
      </c>
      <c r="B22" s="47" t="s">
        <v>103</v>
      </c>
      <c r="C22" s="127">
        <f>B2</f>
        <v>175000</v>
      </c>
      <c r="D22" s="50" t="s">
        <v>50</v>
      </c>
      <c r="E22" s="131">
        <f>Unccalc1!E22</f>
        <v>1.5E-5</v>
      </c>
      <c r="F22" s="42" t="str">
        <f t="shared" si="1"/>
        <v>%</v>
      </c>
      <c r="G22" s="135">
        <f>Unccalc1!G22</f>
        <v>1</v>
      </c>
      <c r="H22" s="136">
        <f>Unccalc1!H22</f>
        <v>1</v>
      </c>
      <c r="I22" s="43">
        <f t="shared" si="2"/>
        <v>2.6249999999999999E-2</v>
      </c>
      <c r="J22" s="44">
        <f t="shared" si="3"/>
        <v>1.3125E-2</v>
      </c>
      <c r="K22" s="39">
        <v>1</v>
      </c>
      <c r="L22" s="43">
        <v>1</v>
      </c>
      <c r="M22" s="45">
        <f t="shared" si="4"/>
        <v>1.3125E-2</v>
      </c>
      <c r="N22" s="145">
        <f>Unccalc1!N22</f>
        <v>30</v>
      </c>
      <c r="O22" s="43">
        <f t="shared" si="0"/>
        <v>1.7226562499999997E-4</v>
      </c>
      <c r="P22" s="46">
        <f t="shared" si="5"/>
        <v>0.15</v>
      </c>
    </row>
    <row r="23" spans="1:16" ht="18.75" customHeight="1" x14ac:dyDescent="0.25">
      <c r="A23" s="39" t="s">
        <v>134</v>
      </c>
      <c r="B23" s="47" t="s">
        <v>103</v>
      </c>
      <c r="C23" s="127">
        <f>B2</f>
        <v>175000</v>
      </c>
      <c r="D23" s="50" t="s">
        <v>50</v>
      </c>
      <c r="E23" s="131">
        <f>Unccalc1!E23</f>
        <v>6.0000000000000001E-3</v>
      </c>
      <c r="F23" s="42" t="str">
        <f t="shared" si="1"/>
        <v>Pa</v>
      </c>
      <c r="G23" s="135">
        <f>Unccalc1!G23</f>
        <v>2</v>
      </c>
      <c r="H23" s="136">
        <f>Unccalc1!H23</f>
        <v>1</v>
      </c>
      <c r="I23" s="43">
        <f t="shared" si="2"/>
        <v>6.0000000000000001E-3</v>
      </c>
      <c r="J23" s="44">
        <f t="shared" si="3"/>
        <v>3.0000000000000001E-3</v>
      </c>
      <c r="K23" s="39">
        <v>1</v>
      </c>
      <c r="L23" s="43">
        <v>1</v>
      </c>
      <c r="M23" s="45">
        <f t="shared" si="4"/>
        <v>3.0000000000000001E-3</v>
      </c>
      <c r="N23" s="145">
        <f>Unccalc1!N23</f>
        <v>30</v>
      </c>
      <c r="O23" s="43">
        <f t="shared" si="0"/>
        <v>9.0000000000000002E-6</v>
      </c>
      <c r="P23" s="46">
        <f t="shared" si="5"/>
        <v>3.4285714285714287E-2</v>
      </c>
    </row>
    <row r="24" spans="1:16" ht="18.75" customHeight="1" thickBot="1" x14ac:dyDescent="0.3">
      <c r="A24" s="52" t="s">
        <v>25</v>
      </c>
      <c r="B24" s="53" t="s">
        <v>16</v>
      </c>
      <c r="C24" s="128">
        <f>Unccalc1!C24</f>
        <v>9.8051600000000007E-4</v>
      </c>
      <c r="D24" s="54" t="s">
        <v>17</v>
      </c>
      <c r="E24" s="132">
        <f>Unccalc1!E24</f>
        <v>-4.6304915694569943E-5</v>
      </c>
      <c r="F24" s="55" t="str">
        <f t="shared" si="1"/>
        <v>%</v>
      </c>
      <c r="G24" s="137">
        <f>Unccalc1!G24</f>
        <v>1</v>
      </c>
      <c r="H24" s="138">
        <f>Unccalc1!H24</f>
        <v>2</v>
      </c>
      <c r="I24" s="56">
        <f t="shared" si="2"/>
        <v>-4.5402710717176948E-10</v>
      </c>
      <c r="J24" s="57">
        <f t="shared" si="3"/>
        <v>-2.6213267254500821E-10</v>
      </c>
      <c r="K24" s="52" t="s">
        <v>88</v>
      </c>
      <c r="L24" s="56">
        <f>1/C24*B$2</f>
        <v>178477454.72791877</v>
      </c>
      <c r="M24" s="58">
        <f t="shared" si="4"/>
        <v>-4.6784772196860058E-2</v>
      </c>
      <c r="N24" s="147">
        <f>Unccalc1!N24</f>
        <v>30</v>
      </c>
      <c r="O24" s="56">
        <f t="shared" si="0"/>
        <v>2.1888149095120901E-3</v>
      </c>
      <c r="P24" s="59">
        <f t="shared" si="5"/>
        <v>0.53468311082125786</v>
      </c>
    </row>
    <row r="25" spans="1:16" ht="18.75" customHeight="1" thickBot="1" x14ac:dyDescent="0.3">
      <c r="A25" s="290" t="s">
        <v>26</v>
      </c>
      <c r="B25" s="291"/>
      <c r="C25" s="291"/>
      <c r="D25" s="292"/>
      <c r="E25" s="111"/>
      <c r="F25" s="112"/>
      <c r="G25" s="113"/>
      <c r="H25" s="114"/>
      <c r="I25" s="105"/>
      <c r="J25" s="106"/>
      <c r="K25" s="107"/>
      <c r="L25" s="108"/>
      <c r="M25" s="115"/>
      <c r="N25" s="109"/>
      <c r="O25" s="108"/>
      <c r="P25" s="110"/>
    </row>
    <row r="26" spans="1:16" ht="18.75" customHeight="1" x14ac:dyDescent="0.25">
      <c r="A26" s="60" t="s">
        <v>27</v>
      </c>
      <c r="B26" s="61" t="s">
        <v>28</v>
      </c>
      <c r="C26" s="62">
        <f>B2/B5</f>
        <v>17.497341089974661</v>
      </c>
      <c r="D26" s="63" t="s">
        <v>29</v>
      </c>
      <c r="E26" s="129">
        <f>Unccalc1!E26</f>
        <v>5.0000000000000001E-4</v>
      </c>
      <c r="F26" s="34" t="str">
        <f>IF(G26=1,"%",IF(G26=2,D26,"ERR"))</f>
        <v>%</v>
      </c>
      <c r="G26" s="141">
        <f>Unccalc1!G26</f>
        <v>1</v>
      </c>
      <c r="H26" s="142">
        <f>Unccalc1!H26</f>
        <v>1</v>
      </c>
      <c r="I26" s="35">
        <f>IF(G26=1,E26/100*C26,E26)</f>
        <v>8.7486705449873317E-5</v>
      </c>
      <c r="J26" s="64">
        <f t="shared" si="3"/>
        <v>4.3743352724936659E-5</v>
      </c>
      <c r="K26" s="65" t="s">
        <v>165</v>
      </c>
      <c r="L26" s="66">
        <f>B5</f>
        <v>10001.519608043111</v>
      </c>
      <c r="M26" s="37">
        <f>L26*J26</f>
        <v>0.4375</v>
      </c>
      <c r="N26" s="144">
        <f>Unccalc1!N26</f>
        <v>30</v>
      </c>
      <c r="O26" s="66">
        <f t="shared" si="0"/>
        <v>0.19140625</v>
      </c>
      <c r="P26" s="38">
        <f>M26/B$2*2000000</f>
        <v>5</v>
      </c>
    </row>
    <row r="27" spans="1:16" ht="18.75" customHeight="1" x14ac:dyDescent="0.25">
      <c r="A27" s="39" t="s">
        <v>92</v>
      </c>
      <c r="B27" s="49" t="s">
        <v>28</v>
      </c>
      <c r="C27" s="67">
        <f>C26</f>
        <v>17.497341089974661</v>
      </c>
      <c r="D27" s="50" t="s">
        <v>29</v>
      </c>
      <c r="E27" s="131">
        <f>Unccalc1!E27</f>
        <v>0</v>
      </c>
      <c r="F27" s="42" t="str">
        <f>IF(G27=1,"%",IF(G27=2,D27,"ERR"))</f>
        <v>%</v>
      </c>
      <c r="G27" s="143">
        <f>Unccalc1!G27</f>
        <v>1</v>
      </c>
      <c r="H27" s="136">
        <f>Unccalc1!H27</f>
        <v>2</v>
      </c>
      <c r="I27" s="43">
        <f>IF(G27=1,E27/100*C27,E27)</f>
        <v>0</v>
      </c>
      <c r="J27" s="44">
        <f t="shared" si="3"/>
        <v>0</v>
      </c>
      <c r="K27" s="39" t="s">
        <v>165</v>
      </c>
      <c r="L27" s="43">
        <f>B5</f>
        <v>10001.519608043111</v>
      </c>
      <c r="M27" s="45">
        <f>L27*J27</f>
        <v>0</v>
      </c>
      <c r="N27" s="145">
        <f>Unccalc1!N27</f>
        <v>30</v>
      </c>
      <c r="O27" s="43">
        <f t="shared" si="0"/>
        <v>0</v>
      </c>
      <c r="P27" s="46">
        <f>SQRT(O27)/B$2*2000000</f>
        <v>0</v>
      </c>
    </row>
    <row r="28" spans="1:16" ht="18.75" customHeight="1" x14ac:dyDescent="0.2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IF(B$3=4,0,IF(H28=1,I28/2,I28/SQRT(3)))</f>
        <v>0</v>
      </c>
      <c r="K28" s="39" t="s">
        <v>165</v>
      </c>
      <c r="L28" s="43">
        <f>B5</f>
        <v>10001.519608043111</v>
      </c>
      <c r="M28" s="45">
        <f t="shared" ref="M28:M36" si="8">L28*J28</f>
        <v>0</v>
      </c>
      <c r="N28" s="145">
        <f>Unccalc1!N28</f>
        <v>30</v>
      </c>
      <c r="O28" s="43">
        <f t="shared" si="0"/>
        <v>0</v>
      </c>
      <c r="P28" s="46">
        <f t="shared" ref="P28:P38" si="9">SQRT(O28)/B$2*2000000</f>
        <v>0</v>
      </c>
    </row>
    <row r="29" spans="1:16" ht="18.75" customHeight="1" x14ac:dyDescent="0.25">
      <c r="A29" s="39" t="s">
        <v>128</v>
      </c>
      <c r="B29" s="49" t="s">
        <v>28</v>
      </c>
      <c r="C29" s="127">
        <f>Unccalc1!C29</f>
        <v>5.0000000000000004E-6</v>
      </c>
      <c r="D29" s="50" t="s">
        <v>29</v>
      </c>
      <c r="E29" s="131">
        <f>Unccalc1!E29</f>
        <v>5.0000000000000004E-6</v>
      </c>
      <c r="F29" s="42" t="str">
        <f t="shared" si="6"/>
        <v>kg</v>
      </c>
      <c r="G29" s="143">
        <f>Unccalc1!G29</f>
        <v>2</v>
      </c>
      <c r="H29" s="136">
        <f>Unccalc1!H29</f>
        <v>1</v>
      </c>
      <c r="I29" s="43">
        <f t="shared" si="7"/>
        <v>5.0000000000000004E-6</v>
      </c>
      <c r="J29" s="44">
        <f t="shared" ref="J29:J30" si="10">IF(B$3=4,0,IF(H29=1,I29/2,I29/SQRT(3)))</f>
        <v>2.5000000000000002E-6</v>
      </c>
      <c r="K29" s="39" t="s">
        <v>165</v>
      </c>
      <c r="L29" s="43">
        <f>B5</f>
        <v>10001.519608043111</v>
      </c>
      <c r="M29" s="45">
        <f t="shared" si="8"/>
        <v>2.500379902010778E-2</v>
      </c>
      <c r="N29" s="145">
        <f>Unccalc1!N29</f>
        <v>30</v>
      </c>
      <c r="O29" s="43">
        <f t="shared" si="0"/>
        <v>6.2518996543794276E-4</v>
      </c>
      <c r="P29" s="46">
        <f t="shared" si="9"/>
        <v>0.28575770308694604</v>
      </c>
    </row>
    <row r="30" spans="1:16" ht="18.75" customHeight="1" x14ac:dyDescent="0.25">
      <c r="A30" s="39" t="s">
        <v>129</v>
      </c>
      <c r="B30" s="49" t="s">
        <v>28</v>
      </c>
      <c r="C30" s="127">
        <f>Unccalc1!C30</f>
        <v>5.0000000000000004E-6</v>
      </c>
      <c r="D30" s="50" t="s">
        <v>29</v>
      </c>
      <c r="E30" s="131">
        <f>Unccalc1!E30</f>
        <v>5.0000000000000004E-6</v>
      </c>
      <c r="F30" s="42" t="str">
        <f t="shared" si="6"/>
        <v>kg</v>
      </c>
      <c r="G30" s="143">
        <f>Unccalc1!G30</f>
        <v>2</v>
      </c>
      <c r="H30" s="136">
        <f>Unccalc1!H30</f>
        <v>1</v>
      </c>
      <c r="I30" s="43">
        <f t="shared" si="7"/>
        <v>5.0000000000000004E-6</v>
      </c>
      <c r="J30" s="44">
        <f t="shared" si="10"/>
        <v>2.5000000000000002E-6</v>
      </c>
      <c r="K30" s="39" t="s">
        <v>165</v>
      </c>
      <c r="L30" s="43">
        <f>B5</f>
        <v>10001.519608043111</v>
      </c>
      <c r="M30" s="45">
        <f t="shared" si="8"/>
        <v>2.500379902010778E-2</v>
      </c>
      <c r="N30" s="145">
        <f>Unccalc1!N30</f>
        <v>30</v>
      </c>
      <c r="O30" s="43">
        <f t="shared" si="0"/>
        <v>6.2518996543794276E-4</v>
      </c>
      <c r="P30" s="46">
        <f t="shared" si="9"/>
        <v>0.28575770308694604</v>
      </c>
    </row>
    <row r="31" spans="1:16" ht="18.75" customHeight="1" x14ac:dyDescent="0.25">
      <c r="A31" s="39" t="s">
        <v>30</v>
      </c>
      <c r="B31" s="49" t="s">
        <v>31</v>
      </c>
      <c r="C31" s="127">
        <f>Unccalc1!C31</f>
        <v>9.8066499999999994</v>
      </c>
      <c r="D31" s="50" t="s">
        <v>32</v>
      </c>
      <c r="E31" s="131">
        <f>Unccalc1!E31</f>
        <v>2.0000000000000001E-4</v>
      </c>
      <c r="F31" s="42" t="str">
        <f t="shared" si="6"/>
        <v>%</v>
      </c>
      <c r="G31" s="143">
        <f>Unccalc1!G31</f>
        <v>1</v>
      </c>
      <c r="H31" s="136">
        <f>Unccalc1!H31</f>
        <v>1</v>
      </c>
      <c r="I31" s="43">
        <f t="shared" si="7"/>
        <v>1.9613299999999997E-5</v>
      </c>
      <c r="J31" s="44">
        <f t="shared" si="3"/>
        <v>9.8066499999999987E-6</v>
      </c>
      <c r="K31" s="39" t="s">
        <v>89</v>
      </c>
      <c r="L31" s="43">
        <f>1/C31*B2</f>
        <v>17845.033727113747</v>
      </c>
      <c r="M31" s="45">
        <f t="shared" si="8"/>
        <v>0.17499999999999999</v>
      </c>
      <c r="N31" s="145">
        <f>Unccalc1!N31</f>
        <v>30</v>
      </c>
      <c r="O31" s="43">
        <f t="shared" si="0"/>
        <v>3.0624999999999996E-2</v>
      </c>
      <c r="P31" s="46">
        <f t="shared" si="9"/>
        <v>2</v>
      </c>
    </row>
    <row r="32" spans="1:16" ht="18.75" customHeight="1" x14ac:dyDescent="0.25">
      <c r="A32" s="39" t="s">
        <v>33</v>
      </c>
      <c r="B32" s="51" t="s">
        <v>34</v>
      </c>
      <c r="C32" s="127">
        <f>Unccalc1!C32</f>
        <v>0</v>
      </c>
      <c r="D32" s="50" t="s">
        <v>35</v>
      </c>
      <c r="E32" s="131">
        <f>Unccalc1!E32</f>
        <v>0</v>
      </c>
      <c r="F32" s="42" t="str">
        <f t="shared" si="6"/>
        <v>kg/m3</v>
      </c>
      <c r="G32" s="143">
        <f>Unccalc1!G32</f>
        <v>2</v>
      </c>
      <c r="H32" s="136">
        <f>Unccalc1!H32</f>
        <v>1</v>
      </c>
      <c r="I32" s="43">
        <f t="shared" si="7"/>
        <v>0</v>
      </c>
      <c r="J32" s="44">
        <f>IF(OR(B$3=1,B3=4),0,IF(H32=1,I32/2,I32/SQRT(3)))</f>
        <v>0</v>
      </c>
      <c r="K32" s="68" t="s">
        <v>90</v>
      </c>
      <c r="L32" s="43">
        <f>1/C36*B2</f>
        <v>22.095959595959595</v>
      </c>
      <c r="M32" s="45">
        <f t="shared" si="8"/>
        <v>0</v>
      </c>
      <c r="N32" s="145">
        <f>Unccalc1!N32</f>
        <v>30</v>
      </c>
      <c r="O32" s="43">
        <f t="shared" si="0"/>
        <v>0</v>
      </c>
      <c r="P32" s="46">
        <f t="shared" si="9"/>
        <v>0</v>
      </c>
    </row>
    <row r="33" spans="1:16" ht="18.75" customHeight="1" x14ac:dyDescent="0.25">
      <c r="A33" s="39" t="s">
        <v>69</v>
      </c>
      <c r="B33" s="69" t="s">
        <v>75</v>
      </c>
      <c r="C33" s="127">
        <f>Unccalc1!C33</f>
        <v>101325</v>
      </c>
      <c r="D33" s="50" t="s">
        <v>50</v>
      </c>
      <c r="E33" s="131">
        <f>Unccalc1!E33</f>
        <v>200</v>
      </c>
      <c r="F33" s="42" t="str">
        <f t="shared" si="6"/>
        <v>Pa</v>
      </c>
      <c r="G33" s="143">
        <f>Unccalc1!G33</f>
        <v>2</v>
      </c>
      <c r="H33" s="136">
        <f>Unccalc1!H33</f>
        <v>1</v>
      </c>
      <c r="I33" s="43">
        <f t="shared" si="7"/>
        <v>200</v>
      </c>
      <c r="J33" s="44">
        <f>IF(E$32=0,IF(OR(B$3=1,B$3=4),0,IF(H33=1,I33/2,I33/SQRT(3))),0)</f>
        <v>0</v>
      </c>
      <c r="K33" s="118" t="s">
        <v>131</v>
      </c>
      <c r="L33" s="43">
        <f>0.0000015*B2</f>
        <v>0.26250000000000001</v>
      </c>
      <c r="M33" s="45">
        <f>L33*J33/1000</f>
        <v>0</v>
      </c>
      <c r="N33" s="145">
        <f>Unccalc1!N33</f>
        <v>30</v>
      </c>
      <c r="O33" s="43">
        <f t="shared" si="0"/>
        <v>0</v>
      </c>
      <c r="P33" s="46">
        <f t="shared" si="9"/>
        <v>0</v>
      </c>
    </row>
    <row r="34" spans="1:16" ht="18.75" customHeight="1" x14ac:dyDescent="0.25">
      <c r="A34" s="39" t="s">
        <v>70</v>
      </c>
      <c r="B34" s="69" t="s">
        <v>76</v>
      </c>
      <c r="C34" s="127">
        <f>Unccalc1!C34</f>
        <v>23</v>
      </c>
      <c r="D34" s="48" t="s">
        <v>60</v>
      </c>
      <c r="E34" s="131">
        <f>Unccalc1!E34</f>
        <v>1</v>
      </c>
      <c r="F34" s="42" t="str">
        <f t="shared" si="6"/>
        <v>°C</v>
      </c>
      <c r="G34" s="143">
        <f>Unccalc1!G34</f>
        <v>2</v>
      </c>
      <c r="H34" s="136">
        <f>Unccalc1!H34</f>
        <v>1</v>
      </c>
      <c r="I34" s="43">
        <f t="shared" si="7"/>
        <v>1</v>
      </c>
      <c r="J34" s="44">
        <f t="shared" ref="J34:J35" si="11">IF(E$32=0,IF(OR(B$3=1,B$3=4),0,IF(H34=1,I34/2,I34/SQRT(3))),0)</f>
        <v>0</v>
      </c>
      <c r="K34" s="118" t="s">
        <v>132</v>
      </c>
      <c r="L34" s="43">
        <f>0.00000055*B2</f>
        <v>9.6250000000000002E-2</v>
      </c>
      <c r="M34" s="45">
        <f t="shared" si="8"/>
        <v>0</v>
      </c>
      <c r="N34" s="145">
        <f>Unccalc1!N34</f>
        <v>30</v>
      </c>
      <c r="O34" s="43">
        <f t="shared" si="0"/>
        <v>0</v>
      </c>
      <c r="P34" s="46">
        <f t="shared" si="9"/>
        <v>0</v>
      </c>
    </row>
    <row r="35" spans="1:16" ht="18.75" customHeight="1" x14ac:dyDescent="0.25">
      <c r="A35" s="39" t="s">
        <v>71</v>
      </c>
      <c r="B35" s="69" t="s">
        <v>77</v>
      </c>
      <c r="C35" s="127">
        <f>Unccalc1!C35</f>
        <v>50</v>
      </c>
      <c r="D35" s="50" t="s">
        <v>112</v>
      </c>
      <c r="E35" s="131">
        <f>Unccalc1!E35</f>
        <v>10</v>
      </c>
      <c r="F35" s="70" t="str">
        <f t="shared" si="6"/>
        <v>%RH</v>
      </c>
      <c r="G35" s="143">
        <f>Unccalc1!G35</f>
        <v>2</v>
      </c>
      <c r="H35" s="136">
        <f>Unccalc1!H35</f>
        <v>1</v>
      </c>
      <c r="I35" s="43">
        <f t="shared" si="7"/>
        <v>10</v>
      </c>
      <c r="J35" s="44">
        <f t="shared" si="11"/>
        <v>0</v>
      </c>
      <c r="K35" s="118" t="s">
        <v>133</v>
      </c>
      <c r="L35" s="43">
        <f>0.000000012*B2</f>
        <v>2.0999999999999999E-3</v>
      </c>
      <c r="M35" s="45">
        <f t="shared" si="8"/>
        <v>0</v>
      </c>
      <c r="N35" s="145">
        <f>Unccalc1!N35</f>
        <v>30</v>
      </c>
      <c r="O35" s="43">
        <f t="shared" si="0"/>
        <v>0</v>
      </c>
      <c r="P35" s="46">
        <f t="shared" si="9"/>
        <v>0</v>
      </c>
    </row>
    <row r="36" spans="1:16" ht="18.75" customHeight="1" x14ac:dyDescent="0.25">
      <c r="A36" s="39" t="s">
        <v>86</v>
      </c>
      <c r="B36" s="51" t="s">
        <v>36</v>
      </c>
      <c r="C36" s="127">
        <f>Unccalc1!C36</f>
        <v>7920</v>
      </c>
      <c r="D36" s="50" t="s">
        <v>35</v>
      </c>
      <c r="E36" s="131">
        <f>Unccalc1!E36</f>
        <v>40</v>
      </c>
      <c r="F36" s="70" t="str">
        <f t="shared" si="6"/>
        <v>kg/m3</v>
      </c>
      <c r="G36" s="143">
        <f>Unccalc1!G36</f>
        <v>2</v>
      </c>
      <c r="H36" s="136">
        <f>Unccalc1!H36</f>
        <v>1</v>
      </c>
      <c r="I36" s="43">
        <f t="shared" si="7"/>
        <v>40</v>
      </c>
      <c r="J36" s="44">
        <f>IF(OR(B3=1,B3=4),IF(H36=1,I36/2,I36/SQRT(3)),0)</f>
        <v>20</v>
      </c>
      <c r="K36" s="68" t="s">
        <v>93</v>
      </c>
      <c r="L36" s="43">
        <f>1.2/C36^2*B2</f>
        <v>3.3478726660544841E-3</v>
      </c>
      <c r="M36" s="45">
        <f t="shared" si="8"/>
        <v>6.6957453321089683E-2</v>
      </c>
      <c r="N36" s="145">
        <f>Unccalc1!N36</f>
        <v>30</v>
      </c>
      <c r="O36" s="43">
        <f t="shared" si="0"/>
        <v>4.4833005552459039E-3</v>
      </c>
      <c r="P36" s="46">
        <f t="shared" si="9"/>
        <v>0.76522803795531069</v>
      </c>
    </row>
    <row r="37" spans="1:16" ht="18.75" customHeight="1" x14ac:dyDescent="0.25">
      <c r="A37" s="71" t="s">
        <v>113</v>
      </c>
      <c r="B37" s="72" t="s">
        <v>114</v>
      </c>
      <c r="C37" s="139">
        <f>Unccalc1!C37</f>
        <v>3.2000000000000001E-2</v>
      </c>
      <c r="D37" s="73" t="s">
        <v>115</v>
      </c>
      <c r="E37" s="140">
        <f>Unccalc1!E37</f>
        <v>10</v>
      </c>
      <c r="F37" s="70" t="str">
        <f t="shared" si="6"/>
        <v>%</v>
      </c>
      <c r="G37" s="143">
        <f>Unccalc1!G37</f>
        <v>1</v>
      </c>
      <c r="H37" s="136">
        <f>Unccalc1!H37</f>
        <v>1</v>
      </c>
      <c r="I37" s="43">
        <f t="shared" si="7"/>
        <v>3.2000000000000002E-3</v>
      </c>
      <c r="J37" s="44">
        <f>IF(B3=1,0,IF(OR(B4=2,B4=3),IF(H37=1,I37/2,I37/SQRT(3)),0))</f>
        <v>0</v>
      </c>
      <c r="K37" s="116" t="s">
        <v>126</v>
      </c>
      <c r="L37" s="74">
        <f>(PI()*SQRT(C15/PI())*2)/C15</f>
        <v>113.20812293971888</v>
      </c>
      <c r="M37" s="75">
        <f>L37*J37</f>
        <v>0</v>
      </c>
      <c r="N37" s="146">
        <f>Unccalc1!N37</f>
        <v>30</v>
      </c>
      <c r="O37" s="74">
        <f t="shared" si="0"/>
        <v>0</v>
      </c>
      <c r="P37" s="76">
        <f t="shared" si="9"/>
        <v>0</v>
      </c>
    </row>
    <row r="38" spans="1:16" ht="18.75" customHeight="1" thickBot="1" x14ac:dyDescent="0.3">
      <c r="A38" s="52" t="s">
        <v>37</v>
      </c>
      <c r="B38" s="77" t="s">
        <v>38</v>
      </c>
      <c r="C38" s="128">
        <f>Unccalc1!C38</f>
        <v>0</v>
      </c>
      <c r="D38" s="54" t="s">
        <v>39</v>
      </c>
      <c r="E38" s="132">
        <f>Unccalc1!E38</f>
        <v>0.16700000000000001</v>
      </c>
      <c r="F38" s="55" t="str">
        <f t="shared" si="6"/>
        <v>deg.</v>
      </c>
      <c r="G38" s="137">
        <f>Unccalc1!G38</f>
        <v>2</v>
      </c>
      <c r="H38" s="138">
        <f>Unccalc1!H38</f>
        <v>1</v>
      </c>
      <c r="I38" s="56">
        <f t="shared" si="7"/>
        <v>0.16700000000000001</v>
      </c>
      <c r="J38" s="57">
        <f t="shared" si="3"/>
        <v>8.3500000000000005E-2</v>
      </c>
      <c r="K38" s="52" t="s">
        <v>109</v>
      </c>
      <c r="L38" s="56">
        <f>(1-COS(RADIANS(J38)))*B2</f>
        <v>0.18583848754860632</v>
      </c>
      <c r="M38" s="58">
        <f>L38</f>
        <v>0.18583848754860632</v>
      </c>
      <c r="N38" s="147">
        <f>Unccalc1!N38</f>
        <v>30</v>
      </c>
      <c r="O38" s="56">
        <f t="shared" si="0"/>
        <v>3.4535943454353506E-2</v>
      </c>
      <c r="P38" s="59">
        <f t="shared" si="9"/>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IF(B4=2,B6,IF(B4=3,998.2123,1.1647*G2/C33))</f>
        <v>2.0115716753022452</v>
      </c>
      <c r="D40" s="50" t="s">
        <v>35</v>
      </c>
      <c r="E40" s="149">
        <f>Unccalc1!E40</f>
        <v>0.1</v>
      </c>
      <c r="F40" s="78" t="str">
        <f t="shared" si="6"/>
        <v>%</v>
      </c>
      <c r="G40" s="150">
        <f>Unccalc1!G40</f>
        <v>1</v>
      </c>
      <c r="H40" s="136">
        <f>Unccalc1!H40</f>
        <v>1</v>
      </c>
      <c r="I40" s="35">
        <f>IF(G40=1,E40/100*C40,E40)</f>
        <v>2.0115716753022453E-3</v>
      </c>
      <c r="J40" s="44">
        <f t="shared" si="3"/>
        <v>1.0057858376511227E-3</v>
      </c>
      <c r="K40" s="39" t="s">
        <v>120</v>
      </c>
      <c r="L40" s="43">
        <f>C15*C41/C26*B2</f>
        <v>0.98066500000000012</v>
      </c>
      <c r="M40" s="37">
        <f>L40*J40</f>
        <v>9.8633896848013833E-4</v>
      </c>
      <c r="N40" s="145">
        <f>Unccalc1!N40</f>
        <v>30</v>
      </c>
      <c r="O40" s="43">
        <f t="shared" si="0"/>
        <v>9.7286456074246336E-7</v>
      </c>
      <c r="P40" s="38">
        <f>SQRT(O40)/B$2*2000000</f>
        <v>1.1272445354058724E-2</v>
      </c>
    </row>
    <row r="41" spans="1:16" ht="18.75" customHeight="1" x14ac:dyDescent="0.25">
      <c r="A41" s="39" t="s">
        <v>43</v>
      </c>
      <c r="B41" s="49" t="s">
        <v>44</v>
      </c>
      <c r="C41" s="127">
        <f>Unccalc1!C41</f>
        <v>0.1</v>
      </c>
      <c r="D41" s="50" t="s">
        <v>45</v>
      </c>
      <c r="E41" s="131">
        <f>Unccalc1!E41</f>
        <v>0.01</v>
      </c>
      <c r="F41" s="70" t="str">
        <f t="shared" si="6"/>
        <v>m</v>
      </c>
      <c r="G41" s="143">
        <f>Unccalc1!G41</f>
        <v>2</v>
      </c>
      <c r="H41" s="136">
        <f>Unccalc1!H41</f>
        <v>1</v>
      </c>
      <c r="I41" s="43">
        <f>IF(G41=1,E41/100*C41,E41)</f>
        <v>0.01</v>
      </c>
      <c r="J41" s="44">
        <f t="shared" si="3"/>
        <v>5.0000000000000001E-3</v>
      </c>
      <c r="K41" s="39" t="s">
        <v>130</v>
      </c>
      <c r="L41" s="43">
        <f>IF(B3=1,C31*C40,(C40-C32)*C31)</f>
        <v>19.726779369602763</v>
      </c>
      <c r="M41" s="45">
        <f>L41*J41</f>
        <v>9.8633896848013825E-2</v>
      </c>
      <c r="N41" s="145">
        <f>Unccalc1!N41</f>
        <v>30</v>
      </c>
      <c r="O41" s="43">
        <f t="shared" si="0"/>
        <v>9.7286456074246307E-3</v>
      </c>
      <c r="P41" s="46">
        <f>SQRT(O41)/B$2*2000000</f>
        <v>1.1272445354058722</v>
      </c>
    </row>
    <row r="42" spans="1:16" ht="18.75" customHeight="1" x14ac:dyDescent="0.25">
      <c r="A42" s="39" t="s">
        <v>46</v>
      </c>
      <c r="B42" s="49" t="s">
        <v>47</v>
      </c>
      <c r="C42" s="127">
        <f>Unccalc1!C42</f>
        <v>7.0000000000000001E-3</v>
      </c>
      <c r="D42" s="50" t="s">
        <v>45</v>
      </c>
      <c r="E42" s="131">
        <f>Unccalc1!E42</f>
        <v>1E-4</v>
      </c>
      <c r="F42" s="70" t="str">
        <f t="shared" si="6"/>
        <v>m</v>
      </c>
      <c r="G42" s="143">
        <f>Unccalc1!G42</f>
        <v>2</v>
      </c>
      <c r="H42" s="136">
        <f>Unccalc1!H42</f>
        <v>1</v>
      </c>
      <c r="I42" s="43">
        <f t="shared" ref="I42:I44" si="12">IF(G42=1,E42/100*C42,E42)</f>
        <v>1E-4</v>
      </c>
      <c r="J42" s="44">
        <f t="shared" si="3"/>
        <v>5.0000000000000002E-5</v>
      </c>
      <c r="K42" s="39" t="s">
        <v>130</v>
      </c>
      <c r="L42" s="43">
        <f>IF(B3=1,C31*C40,(C40-C32)*C31)</f>
        <v>19.726779369602763</v>
      </c>
      <c r="M42" s="45">
        <f t="shared" ref="M42:M45" si="13">L42*J42</f>
        <v>9.8633896848013811E-4</v>
      </c>
      <c r="N42" s="145">
        <f>Unccalc1!N42</f>
        <v>30</v>
      </c>
      <c r="O42" s="43">
        <f t="shared" si="0"/>
        <v>9.7286456074246293E-7</v>
      </c>
      <c r="P42" s="46">
        <f t="shared" ref="P42:P45" si="14">SQRT(O42)/B$2*2000000</f>
        <v>1.1272445354058721E-2</v>
      </c>
    </row>
    <row r="43" spans="1:16" ht="18.75" customHeight="1" x14ac:dyDescent="0.25">
      <c r="A43" s="39" t="s">
        <v>65</v>
      </c>
      <c r="B43" s="49" t="s">
        <v>66</v>
      </c>
      <c r="C43" s="127">
        <f>Unccalc1!C43</f>
        <v>101325</v>
      </c>
      <c r="D43" s="50" t="s">
        <v>50</v>
      </c>
      <c r="E43" s="131">
        <f>Unccalc1!E43</f>
        <v>10</v>
      </c>
      <c r="F43" s="70" t="str">
        <f t="shared" si="6"/>
        <v>Pa</v>
      </c>
      <c r="G43" s="143">
        <f>Unccalc1!G43</f>
        <v>2</v>
      </c>
      <c r="H43" s="136">
        <f>Unccalc1!H43</f>
        <v>1</v>
      </c>
      <c r="I43" s="43">
        <f t="shared" si="12"/>
        <v>10</v>
      </c>
      <c r="J43" s="44">
        <f>IF(B3=3,IF(H43=1,I43/2,I43/SQRT(3)),0)</f>
        <v>0</v>
      </c>
      <c r="K43" s="39">
        <v>1</v>
      </c>
      <c r="L43" s="43">
        <v>1</v>
      </c>
      <c r="M43" s="45">
        <f t="shared" si="13"/>
        <v>0</v>
      </c>
      <c r="N43" s="145">
        <f>Unccalc1!N43</f>
        <v>30</v>
      </c>
      <c r="O43" s="43">
        <f t="shared" si="0"/>
        <v>0</v>
      </c>
      <c r="P43" s="46">
        <f t="shared" si="14"/>
        <v>0</v>
      </c>
    </row>
    <row r="44" spans="1:16" ht="18.75" customHeight="1" x14ac:dyDescent="0.25">
      <c r="A44" s="39" t="s">
        <v>48</v>
      </c>
      <c r="B44" s="49" t="s">
        <v>49</v>
      </c>
      <c r="C44" s="127">
        <f>Unccalc1!C44</f>
        <v>2</v>
      </c>
      <c r="D44" s="50" t="s">
        <v>50</v>
      </c>
      <c r="E44" s="131">
        <f>Unccalc1!E44</f>
        <v>10</v>
      </c>
      <c r="F44" s="70" t="str">
        <f t="shared" si="6"/>
        <v>%</v>
      </c>
      <c r="G44" s="143">
        <f>Unccalc1!G44</f>
        <v>1</v>
      </c>
      <c r="H44" s="136">
        <f>Unccalc1!H44</f>
        <v>1</v>
      </c>
      <c r="I44" s="43">
        <f t="shared" si="12"/>
        <v>0.2</v>
      </c>
      <c r="J44" s="44">
        <f>IF(B4&lt;&gt;1,0,IF(B3=1,IF(H44=1,I44/2,I44/SQRT(3)),0))</f>
        <v>0.1</v>
      </c>
      <c r="K44" s="39">
        <v>1</v>
      </c>
      <c r="L44" s="43">
        <v>1</v>
      </c>
      <c r="M44" s="45">
        <f t="shared" si="13"/>
        <v>0.1</v>
      </c>
      <c r="N44" s="145">
        <f>Unccalc1!N44</f>
        <v>30</v>
      </c>
      <c r="O44" s="43">
        <f t="shared" si="0"/>
        <v>1.0000000000000002E-2</v>
      </c>
      <c r="P44" s="46">
        <f t="shared" si="14"/>
        <v>1.142857142857143</v>
      </c>
    </row>
    <row r="45" spans="1:16" ht="18.75" customHeight="1" thickBot="1" x14ac:dyDescent="0.3">
      <c r="A45" s="71" t="s">
        <v>199</v>
      </c>
      <c r="B45" s="79" t="s">
        <v>103</v>
      </c>
      <c r="C45" s="139">
        <f>B2</f>
        <v>175000</v>
      </c>
      <c r="D45" s="73" t="s">
        <v>50</v>
      </c>
      <c r="E45" s="132">
        <f>Unccalc1!E45</f>
        <v>0.4</v>
      </c>
      <c r="F45" s="80" t="str">
        <f t="shared" si="6"/>
        <v>Pa</v>
      </c>
      <c r="G45" s="151">
        <f>Unccalc1!G45</f>
        <v>2</v>
      </c>
      <c r="H45" s="152">
        <f>Unccalc1!H45</f>
        <v>1</v>
      </c>
      <c r="I45" s="43">
        <f>IF(B3=4,IF(G45=1,E45/100*C45,E45),0)</f>
        <v>0</v>
      </c>
      <c r="J45" s="81">
        <f t="shared" si="3"/>
        <v>0</v>
      </c>
      <c r="K45" s="71">
        <v>1</v>
      </c>
      <c r="L45" s="74">
        <v>1</v>
      </c>
      <c r="M45" s="75">
        <f t="shared" si="13"/>
        <v>0</v>
      </c>
      <c r="N45" s="146">
        <f>Unccalc1!N45</f>
        <v>30</v>
      </c>
      <c r="O45" s="74">
        <f t="shared" si="0"/>
        <v>0</v>
      </c>
      <c r="P45" s="76">
        <f t="shared" si="14"/>
        <v>0</v>
      </c>
    </row>
    <row r="46" spans="1:16" x14ac:dyDescent="0.25">
      <c r="A46" s="82"/>
      <c r="B46" s="82"/>
      <c r="C46" s="82"/>
      <c r="D46" s="82"/>
      <c r="E46" s="82"/>
      <c r="F46" s="82"/>
      <c r="G46" s="82"/>
      <c r="H46" s="82"/>
      <c r="I46" s="4"/>
      <c r="J46" s="83"/>
      <c r="K46" s="84"/>
      <c r="L46" s="85" t="s">
        <v>51</v>
      </c>
      <c r="M46" s="86">
        <f>SUM(O15:O45)</f>
        <v>0.91493509428809605</v>
      </c>
      <c r="N46" s="87" t="s">
        <v>50</v>
      </c>
      <c r="O46" s="6"/>
      <c r="P46" s="88" t="s">
        <v>100</v>
      </c>
    </row>
    <row r="47" spans="1:16" x14ac:dyDescent="0.25">
      <c r="J47" s="89"/>
      <c r="K47" s="90"/>
      <c r="L47" s="89" t="s">
        <v>52</v>
      </c>
      <c r="M47" s="91">
        <f>SQRT(M46)</f>
        <v>0.95652239612467838</v>
      </c>
      <c r="N47" s="92" t="s">
        <v>50</v>
      </c>
      <c r="O47" s="13" t="s">
        <v>99</v>
      </c>
      <c r="P47" s="93">
        <f>TINV((100-B10)/100,VALUE(P48))</f>
        <v>2.0009953780882688</v>
      </c>
    </row>
    <row r="48" spans="1:16" ht="15.75" thickBot="1" x14ac:dyDescent="0.3">
      <c r="J48" s="89"/>
      <c r="K48" s="90"/>
      <c r="L48" s="94" t="str">
        <f>"Expanded Uncertainty ("&amp;B10&amp;"%):"</f>
        <v>Expanded Uncertainty (95%):</v>
      </c>
      <c r="M48" s="95">
        <f>M47*P47</f>
        <v>1.9139968936833975</v>
      </c>
      <c r="N48" s="92" t="s">
        <v>50</v>
      </c>
      <c r="O48" s="20" t="s">
        <v>56</v>
      </c>
      <c r="P48" s="96">
        <f>M47^4/(M15^4/N15+M16^4/N16+M17^4/N17+M18^4/N18+M19^4/N19+M20^4/N20+M22^4/N22+M24^4/N24+M26^4/N26+M27^4/N27+M28^4/N28+M31^4/N31+M32^4/N32+M33^4/N33+M34^4/N34+M35^4/N35+M36^4/N36+M38^4/N38+M40^4/N40+M41^4/N41+M42^4/N42+M43^4/N43+M44^4/N44+M45^4/N45+M21^4/N21+M23^4/N23+M29^4/N29+M30^4/N30+M37^4/N37)</f>
        <v>59.281210279178609</v>
      </c>
    </row>
    <row r="49" spans="1:14" ht="15.75" thickBot="1" x14ac:dyDescent="0.3">
      <c r="K49" s="97"/>
      <c r="L49" s="98" t="str">
        <f>"Expanded Uncertainty ("&amp;B10&amp;"%):"</f>
        <v>Expanded Uncertainty (95%):</v>
      </c>
      <c r="M49" s="99">
        <f>M47*P47/B2*1000000</f>
        <v>10.937125106762272</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9">
    <mergeCell ref="A39:D39"/>
    <mergeCell ref="A1:I1"/>
    <mergeCell ref="A11:D11"/>
    <mergeCell ref="E11:J11"/>
    <mergeCell ref="K11:P11"/>
    <mergeCell ref="E12:F12"/>
    <mergeCell ref="E13:F13"/>
    <mergeCell ref="A14:D14"/>
    <mergeCell ref="A25:D25"/>
  </mergeCells>
  <conditionalFormatting sqref="A32:I35 K32:P35">
    <cfRule type="expression" dxfId="29" priority="16">
      <formula>$B$3=1</formula>
    </cfRule>
  </conditionalFormatting>
  <conditionalFormatting sqref="A36:P36">
    <cfRule type="expression" dxfId="28" priority="14">
      <formula>$B$3=3</formula>
    </cfRule>
    <cfRule type="expression" dxfId="27" priority="15">
      <formula>$B$3=2</formula>
    </cfRule>
  </conditionalFormatting>
  <conditionalFormatting sqref="A37:P37">
    <cfRule type="expression" dxfId="26" priority="12">
      <formula>$B$3=1</formula>
    </cfRule>
    <cfRule type="expression" dxfId="25" priority="13">
      <formula>$B$4=1</formula>
    </cfRule>
  </conditionalFormatting>
  <conditionalFormatting sqref="A33:I35 K33:P35">
    <cfRule type="expression" dxfId="24" priority="11">
      <formula>$E$32&lt;&gt;0</formula>
    </cfRule>
  </conditionalFormatting>
  <conditionalFormatting sqref="A43:P43">
    <cfRule type="expression" dxfId="23" priority="10">
      <formula>$B$3&lt;&gt;3</formula>
    </cfRule>
  </conditionalFormatting>
  <conditionalFormatting sqref="A44:P44">
    <cfRule type="expression" dxfId="22" priority="8">
      <formula>$B$4&lt;&gt;1</formula>
    </cfRule>
    <cfRule type="expression" dxfId="21" priority="9">
      <formula>$B$3&lt;&gt;1</formula>
    </cfRule>
  </conditionalFormatting>
  <conditionalFormatting sqref="I45">
    <cfRule type="expression" dxfId="20" priority="7">
      <formula>$B$3&lt;&gt;4</formula>
    </cfRule>
  </conditionalFormatting>
  <conditionalFormatting sqref="J32:J35">
    <cfRule type="expression" dxfId="19" priority="4">
      <formula>$B$3=4</formula>
    </cfRule>
    <cfRule type="expression" dxfId="18" priority="6">
      <formula>$B$3=1</formula>
    </cfRule>
  </conditionalFormatting>
  <conditionalFormatting sqref="J33:J35">
    <cfRule type="expression" dxfId="17" priority="5">
      <formula>$E$32&lt;&gt;0</formula>
    </cfRule>
  </conditionalFormatting>
  <conditionalFormatting sqref="J28:J30">
    <cfRule type="expression" dxfId="16" priority="2">
      <formula>$B$3=4</formula>
    </cfRule>
  </conditionalFormatting>
  <conditionalFormatting sqref="A45">
    <cfRule type="expression" dxfId="15" priority="1">
      <formula>$B$3&lt;&gt;4</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60"/>
  <sheetViews>
    <sheetView showGridLines="0" topLeftCell="A13" zoomScale="90" zoomScaleNormal="90" workbookViewId="0">
      <selection activeCell="F31" sqref="F31"/>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90" t="s">
        <v>55</v>
      </c>
      <c r="B1" s="291"/>
      <c r="C1" s="291"/>
      <c r="D1" s="291"/>
      <c r="E1" s="291"/>
      <c r="F1" s="291"/>
      <c r="G1" s="291"/>
      <c r="H1" s="291"/>
      <c r="I1" s="292"/>
      <c r="J1"/>
      <c r="K1"/>
      <c r="L1"/>
      <c r="M1"/>
      <c r="N1"/>
      <c r="O1"/>
      <c r="P1"/>
    </row>
    <row r="2" spans="1:16" ht="18.75" customHeight="1" x14ac:dyDescent="0.25">
      <c r="A2" s="2" t="s">
        <v>53</v>
      </c>
      <c r="B2" s="119">
        <f>Unccalc1!I2</f>
        <v>5000</v>
      </c>
      <c r="C2" s="3" t="s">
        <v>50</v>
      </c>
      <c r="D2" s="4">
        <f>B2*0.0001450377</f>
        <v>0.72518850000000001</v>
      </c>
      <c r="E2" s="3" t="s">
        <v>72</v>
      </c>
      <c r="F2" s="3" t="s">
        <v>127</v>
      </c>
      <c r="G2" s="3">
        <f>IF(B3=1,B2,B2+C33)</f>
        <v>5000</v>
      </c>
      <c r="H2" s="3"/>
      <c r="I2" s="5"/>
      <c r="J2"/>
      <c r="K2"/>
      <c r="L2"/>
      <c r="M2"/>
      <c r="N2"/>
      <c r="O2"/>
      <c r="P2"/>
    </row>
    <row r="3" spans="1:16" ht="18.75" customHeight="1" x14ac:dyDescent="0.25">
      <c r="A3" s="9" t="s">
        <v>63</v>
      </c>
      <c r="B3" s="120">
        <f>Unccalc1!B3</f>
        <v>1</v>
      </c>
      <c r="C3" s="10" t="s">
        <v>64</v>
      </c>
      <c r="D3" s="11"/>
      <c r="E3" s="11"/>
      <c r="F3" s="11"/>
      <c r="G3" s="11"/>
      <c r="H3" s="10"/>
      <c r="I3" s="12"/>
      <c r="J3"/>
      <c r="K3"/>
      <c r="L3"/>
      <c r="M3"/>
      <c r="N3"/>
      <c r="O3"/>
      <c r="P3"/>
    </row>
    <row r="4" spans="1:16" ht="18.75" customHeight="1" x14ac:dyDescent="0.25">
      <c r="A4" s="15" t="str">
        <f>"Media :"&amp;IF(B4=1,"gas",IF(B4=2,"oil",IF(B4=3,"water")))</f>
        <v>Media :gas</v>
      </c>
      <c r="B4" s="121">
        <f>Unccalc1!B4</f>
        <v>1</v>
      </c>
      <c r="C4" s="13" t="s">
        <v>116</v>
      </c>
      <c r="D4" s="13"/>
      <c r="E4" s="13"/>
      <c r="F4" s="13"/>
      <c r="G4" s="13" t="s">
        <v>121</v>
      </c>
      <c r="H4" s="16"/>
      <c r="I4" s="14"/>
      <c r="J4"/>
      <c r="K4"/>
      <c r="L4"/>
      <c r="M4"/>
      <c r="N4"/>
      <c r="O4"/>
      <c r="P4"/>
    </row>
    <row r="5" spans="1:16" ht="18.75" customHeight="1" x14ac:dyDescent="0.25">
      <c r="A5" s="15" t="s">
        <v>95</v>
      </c>
      <c r="B5" s="117">
        <f>C31/C15</f>
        <v>10001.519608043111</v>
      </c>
      <c r="C5" s="13" t="s">
        <v>96</v>
      </c>
      <c r="D5" s="13">
        <f>B5*0.0001450377</f>
        <v>1.4505974004554743</v>
      </c>
      <c r="E5" s="13" t="s">
        <v>97</v>
      </c>
      <c r="F5" s="13"/>
      <c r="G5" s="13" t="s">
        <v>122</v>
      </c>
      <c r="H5" s="17"/>
      <c r="I5" s="14"/>
      <c r="J5"/>
      <c r="K5"/>
      <c r="L5"/>
      <c r="M5"/>
      <c r="N5"/>
      <c r="O5"/>
      <c r="P5"/>
    </row>
    <row r="6" spans="1:16" ht="18.75" customHeight="1" x14ac:dyDescent="0.25">
      <c r="A6" s="15" t="s">
        <v>117</v>
      </c>
      <c r="B6" s="122">
        <f>Unccalc1!B6</f>
        <v>916</v>
      </c>
      <c r="C6" s="13" t="s">
        <v>118</v>
      </c>
      <c r="D6" s="13"/>
      <c r="E6" s="13"/>
      <c r="F6" s="13"/>
      <c r="G6" s="13" t="s">
        <v>123</v>
      </c>
      <c r="H6" s="13" t="s">
        <v>124</v>
      </c>
      <c r="I6" s="14"/>
      <c r="J6"/>
      <c r="K6"/>
      <c r="L6"/>
      <c r="M6"/>
      <c r="N6"/>
      <c r="O6"/>
      <c r="P6"/>
    </row>
    <row r="7" spans="1:16" ht="18.75" customHeight="1" x14ac:dyDescent="0.25">
      <c r="A7" s="15" t="s">
        <v>110</v>
      </c>
      <c r="B7" s="122">
        <f>Unccalc1!B7</f>
        <v>0.1</v>
      </c>
      <c r="C7" s="13" t="s">
        <v>45</v>
      </c>
      <c r="D7" s="18">
        <f>B7/0.254</f>
        <v>0.39370078740157483</v>
      </c>
      <c r="E7" s="13" t="s">
        <v>111</v>
      </c>
      <c r="F7" s="13"/>
      <c r="G7" s="13"/>
      <c r="H7" s="13"/>
      <c r="I7" s="14"/>
      <c r="J7"/>
      <c r="K7"/>
      <c r="L7"/>
      <c r="M7"/>
      <c r="N7"/>
      <c r="O7"/>
      <c r="P7"/>
    </row>
    <row r="8" spans="1:16" ht="18.75" customHeight="1" x14ac:dyDescent="0.25">
      <c r="A8" s="15" t="s">
        <v>79</v>
      </c>
      <c r="B8" s="122">
        <f>Unccalc1!B8</f>
        <v>20</v>
      </c>
      <c r="C8" s="13" t="s">
        <v>91</v>
      </c>
      <c r="D8" s="13"/>
      <c r="E8" s="13"/>
      <c r="F8" s="13"/>
      <c r="G8" s="13"/>
      <c r="H8" s="13"/>
      <c r="I8" s="14"/>
      <c r="J8"/>
      <c r="K8"/>
      <c r="L8"/>
      <c r="M8"/>
      <c r="N8"/>
      <c r="O8"/>
      <c r="P8"/>
    </row>
    <row r="9" spans="1:16" ht="18.75" customHeight="1" x14ac:dyDescent="0.25">
      <c r="A9" s="15" t="s">
        <v>80</v>
      </c>
      <c r="B9" s="122">
        <f>Unccalc1!B9</f>
        <v>5</v>
      </c>
      <c r="C9" s="13" t="s">
        <v>108</v>
      </c>
      <c r="D9" s="13"/>
      <c r="E9" s="13"/>
      <c r="F9" s="13"/>
      <c r="G9" s="13"/>
      <c r="H9" s="13"/>
      <c r="I9" s="14"/>
      <c r="J9"/>
      <c r="K9"/>
      <c r="L9"/>
      <c r="M9"/>
      <c r="N9"/>
      <c r="O9"/>
      <c r="P9"/>
    </row>
    <row r="10" spans="1:16" ht="18.75" customHeight="1" thickBot="1" x14ac:dyDescent="0.3">
      <c r="A10" s="19" t="s">
        <v>81</v>
      </c>
      <c r="B10" s="167">
        <f>Unccalc1!B10</f>
        <v>95</v>
      </c>
      <c r="C10" s="20" t="s">
        <v>82</v>
      </c>
      <c r="D10" s="20"/>
      <c r="E10" s="20"/>
      <c r="F10" s="20"/>
      <c r="G10" s="20"/>
      <c r="H10" s="20"/>
      <c r="I10" s="21"/>
      <c r="J10"/>
      <c r="K10"/>
      <c r="L10"/>
      <c r="M10"/>
      <c r="N10"/>
      <c r="O10"/>
      <c r="P10"/>
    </row>
    <row r="11" spans="1:16" ht="18.75" customHeight="1" thickBot="1" x14ac:dyDescent="0.3">
      <c r="A11" s="297" t="s">
        <v>0</v>
      </c>
      <c r="B11" s="298"/>
      <c r="C11" s="298"/>
      <c r="D11" s="303"/>
      <c r="E11" s="297" t="s">
        <v>68</v>
      </c>
      <c r="F11" s="298"/>
      <c r="G11" s="298"/>
      <c r="H11" s="298"/>
      <c r="I11" s="298"/>
      <c r="J11" s="292"/>
      <c r="K11" s="286" t="s">
        <v>1</v>
      </c>
      <c r="L11" s="287"/>
      <c r="M11" s="287"/>
      <c r="N11" s="287"/>
      <c r="O11" s="287"/>
      <c r="P11" s="289"/>
    </row>
    <row r="12" spans="1:16"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90" t="s">
        <v>14</v>
      </c>
      <c r="B14" s="291"/>
      <c r="C14" s="291"/>
      <c r="D14" s="292"/>
      <c r="E14" s="103"/>
      <c r="F14" s="104"/>
      <c r="G14" s="104"/>
      <c r="H14" s="105"/>
      <c r="I14" s="105"/>
      <c r="J14" s="106"/>
      <c r="K14" s="107"/>
      <c r="L14" s="108"/>
      <c r="M14" s="108"/>
      <c r="N14" s="109"/>
      <c r="O14" s="108"/>
      <c r="P14" s="110"/>
    </row>
    <row r="15" spans="1:16" ht="18.75" customHeight="1" x14ac:dyDescent="0.25">
      <c r="A15" s="31" t="s">
        <v>15</v>
      </c>
      <c r="B15" s="32" t="s">
        <v>16</v>
      </c>
      <c r="C15" s="126">
        <f>Unccalc1!C15</f>
        <v>9.8051600000000007E-4</v>
      </c>
      <c r="D15" s="33" t="s">
        <v>17</v>
      </c>
      <c r="E15" s="129">
        <f>Unccalc1!E15</f>
        <v>8.9999999999999998E-4</v>
      </c>
      <c r="F15" s="34" t="str">
        <f>IF(G15=1,"%",IF(G15=2,D15,"ERR"))</f>
        <v>%</v>
      </c>
      <c r="G15" s="133">
        <f>Unccalc1!G15</f>
        <v>1</v>
      </c>
      <c r="H15" s="134">
        <f>Unccalc1!H15</f>
        <v>1</v>
      </c>
      <c r="I15" s="35">
        <f>IF(G15=1,E15/100*C15,E15)</f>
        <v>8.8246440000000003E-9</v>
      </c>
      <c r="J15" s="36">
        <f>IF(H15=1,I15/2,I15/SQRT(3))</f>
        <v>4.4123220000000001E-9</v>
      </c>
      <c r="K15" s="31" t="s">
        <v>87</v>
      </c>
      <c r="L15" s="35">
        <f>1/C15*B$2</f>
        <v>5099355.8493691077</v>
      </c>
      <c r="M15" s="37">
        <f>L15*J15</f>
        <v>2.2500000000000003E-2</v>
      </c>
      <c r="N15" s="148">
        <f>Unccalc1!N15</f>
        <v>30</v>
      </c>
      <c r="O15" s="35">
        <f>M15^2</f>
        <v>5.0625000000000008E-4</v>
      </c>
      <c r="P15" s="38">
        <f>SQRT(O15)/B$2*2000000</f>
        <v>9</v>
      </c>
    </row>
    <row r="16" spans="1:16" ht="18.75" customHeight="1" x14ac:dyDescent="0.25">
      <c r="A16" s="39" t="s">
        <v>18</v>
      </c>
      <c r="B16" s="40" t="s">
        <v>19</v>
      </c>
      <c r="C16" s="127">
        <f>Unccalc1!C16</f>
        <v>4.5000000000000001E-6</v>
      </c>
      <c r="D16" s="41" t="s">
        <v>61</v>
      </c>
      <c r="E16" s="130">
        <f>Unccalc1!E16</f>
        <v>2</v>
      </c>
      <c r="F16" s="42" t="str">
        <f>IF(G16=1,"%",IF(G16=2,D16,"ERR"))</f>
        <v>%</v>
      </c>
      <c r="G16" s="135">
        <f>Unccalc1!G16</f>
        <v>1</v>
      </c>
      <c r="H16" s="136">
        <f>Unccalc1!H16</f>
        <v>2</v>
      </c>
      <c r="I16" s="43">
        <f>IF(G16=1,E16/100*C16,E16)</f>
        <v>8.9999999999999999E-8</v>
      </c>
      <c r="J16" s="44">
        <f>IF(H16=1,I16/2,I16/SQRT(3))</f>
        <v>5.1961524227066319E-8</v>
      </c>
      <c r="K16" s="39" t="s">
        <v>78</v>
      </c>
      <c r="L16" s="43">
        <f>(C18-B8)*B2</f>
        <v>25000</v>
      </c>
      <c r="M16" s="45">
        <f>L16*J16</f>
        <v>1.2990381056766579E-3</v>
      </c>
      <c r="N16" s="145">
        <f>Unccalc1!N16</f>
        <v>30</v>
      </c>
      <c r="O16" s="43">
        <f t="shared" ref="O16:O45" si="0">M16^2</f>
        <v>1.6874999999999999E-6</v>
      </c>
      <c r="P16" s="46">
        <f>SQRT(O16)/B$2*2000000</f>
        <v>0.51961524227066325</v>
      </c>
    </row>
    <row r="17" spans="1:16" ht="18.75" customHeight="1" x14ac:dyDescent="0.25">
      <c r="A17" s="39" t="s">
        <v>20</v>
      </c>
      <c r="B17" s="40" t="s">
        <v>21</v>
      </c>
      <c r="C17" s="127">
        <f>Unccalc1!C17</f>
        <v>4.5000000000000001E-6</v>
      </c>
      <c r="D17" s="41" t="s">
        <v>61</v>
      </c>
      <c r="E17" s="130">
        <f>Unccalc1!E17</f>
        <v>2</v>
      </c>
      <c r="F17" s="42" t="str">
        <f t="shared" ref="F17:F24" si="1">IF(G17=1,"%",IF(G17=2,D17,"ERR"))</f>
        <v>%</v>
      </c>
      <c r="G17" s="135">
        <f>Unccalc1!G17</f>
        <v>1</v>
      </c>
      <c r="H17" s="136">
        <f>Unccalc1!H17</f>
        <v>2</v>
      </c>
      <c r="I17" s="43">
        <f t="shared" ref="I17:I24" si="2">IF(G17=1,E17/100*C17,E17)</f>
        <v>8.9999999999999999E-8</v>
      </c>
      <c r="J17" s="44">
        <f t="shared" ref="J17:J45" si="3">IF(H17=1,I17/2,I17/SQRT(3))</f>
        <v>5.1961524227066319E-8</v>
      </c>
      <c r="K17" s="39" t="s">
        <v>78</v>
      </c>
      <c r="L17" s="43">
        <f>(C18-B8)*B2</f>
        <v>25000</v>
      </c>
      <c r="M17" s="45">
        <f t="shared" ref="M17:M24" si="4">L17*J17</f>
        <v>1.2990381056766579E-3</v>
      </c>
      <c r="N17" s="145">
        <f>Unccalc1!N17</f>
        <v>30</v>
      </c>
      <c r="O17" s="43">
        <f t="shared" si="0"/>
        <v>1.6874999999999999E-6</v>
      </c>
      <c r="P17" s="46">
        <f t="shared" ref="P17:P24" si="5">SQRT(O17)/B$2*2000000</f>
        <v>0.51961524227066325</v>
      </c>
    </row>
    <row r="18" spans="1:16" ht="18.75" customHeight="1" x14ac:dyDescent="0.25">
      <c r="A18" s="39" t="s">
        <v>58</v>
      </c>
      <c r="B18" s="47" t="s">
        <v>59</v>
      </c>
      <c r="C18" s="127">
        <f>Unccalc1!C18</f>
        <v>25</v>
      </c>
      <c r="D18" s="48" t="s">
        <v>60</v>
      </c>
      <c r="E18" s="130">
        <f>Unccalc1!E18</f>
        <v>0.1</v>
      </c>
      <c r="F18" s="42" t="str">
        <f t="shared" si="1"/>
        <v>°C</v>
      </c>
      <c r="G18" s="135">
        <f>Unccalc1!G18</f>
        <v>2</v>
      </c>
      <c r="H18" s="136">
        <f>Unccalc1!H18</f>
        <v>1</v>
      </c>
      <c r="I18" s="43">
        <f t="shared" si="2"/>
        <v>0.1</v>
      </c>
      <c r="J18" s="44">
        <f t="shared" si="3"/>
        <v>0.05</v>
      </c>
      <c r="K18" s="39" t="s">
        <v>83</v>
      </c>
      <c r="L18" s="43">
        <f>(C16+C17)*B2</f>
        <v>4.4999999999999998E-2</v>
      </c>
      <c r="M18" s="45">
        <f t="shared" si="4"/>
        <v>2.2499999999999998E-3</v>
      </c>
      <c r="N18" s="145">
        <f>Unccalc1!N18</f>
        <v>30</v>
      </c>
      <c r="O18" s="43">
        <f t="shared" si="0"/>
        <v>5.0624999999999994E-6</v>
      </c>
      <c r="P18" s="46">
        <f t="shared" si="5"/>
        <v>0.89999999999999991</v>
      </c>
    </row>
    <row r="19" spans="1:16" ht="18.75" customHeight="1" x14ac:dyDescent="0.25">
      <c r="A19" s="39" t="s">
        <v>22</v>
      </c>
      <c r="B19" s="49" t="s">
        <v>98</v>
      </c>
      <c r="C19" s="127">
        <f>Unccalc1!C19</f>
        <v>4.1999999999999996E-6</v>
      </c>
      <c r="D19" s="50" t="s">
        <v>166</v>
      </c>
      <c r="E19" s="131">
        <f>Unccalc1!E19</f>
        <v>10</v>
      </c>
      <c r="F19" s="42" t="str">
        <f t="shared" si="1"/>
        <v>%</v>
      </c>
      <c r="G19" s="135">
        <f>Unccalc1!G19</f>
        <v>1</v>
      </c>
      <c r="H19" s="136">
        <f>Unccalc1!H19</f>
        <v>1</v>
      </c>
      <c r="I19" s="43">
        <f t="shared" si="2"/>
        <v>4.2E-7</v>
      </c>
      <c r="J19" s="44">
        <f t="shared" si="3"/>
        <v>2.1E-7</v>
      </c>
      <c r="K19" s="39" t="s">
        <v>163</v>
      </c>
      <c r="L19" s="43">
        <f>B2^2</f>
        <v>25000000</v>
      </c>
      <c r="M19" s="45">
        <f>L19*(J19/1000000)</f>
        <v>5.2499999999999997E-6</v>
      </c>
      <c r="N19" s="145">
        <f>Unccalc1!N19</f>
        <v>30</v>
      </c>
      <c r="O19" s="43">
        <f t="shared" si="0"/>
        <v>2.7562499999999999E-11</v>
      </c>
      <c r="P19" s="46">
        <f t="shared" si="5"/>
        <v>2.0999999999999999E-3</v>
      </c>
    </row>
    <row r="20" spans="1:16" ht="18.75" customHeight="1" x14ac:dyDescent="0.25">
      <c r="A20" s="39" t="s">
        <v>23</v>
      </c>
      <c r="B20" s="49" t="s">
        <v>24</v>
      </c>
      <c r="C20" s="127">
        <f>Unccalc1!C20</f>
        <v>0</v>
      </c>
      <c r="D20" s="50" t="s">
        <v>167</v>
      </c>
      <c r="E20" s="131">
        <f>Unccalc1!E20</f>
        <v>0</v>
      </c>
      <c r="F20" s="42" t="str">
        <f t="shared" si="1"/>
        <v>%</v>
      </c>
      <c r="G20" s="135">
        <f>Unccalc1!G20</f>
        <v>1</v>
      </c>
      <c r="H20" s="136">
        <f>Unccalc1!H20</f>
        <v>1</v>
      </c>
      <c r="I20" s="43">
        <f t="shared" si="2"/>
        <v>0</v>
      </c>
      <c r="J20" s="44">
        <f t="shared" si="3"/>
        <v>0</v>
      </c>
      <c r="K20" s="39" t="s">
        <v>164</v>
      </c>
      <c r="L20" s="43">
        <f>B2^3</f>
        <v>125000000000</v>
      </c>
      <c r="M20" s="45">
        <f>L20*(J20/1000000^2)</f>
        <v>0</v>
      </c>
      <c r="N20" s="145">
        <f>Unccalc1!N20</f>
        <v>30</v>
      </c>
      <c r="O20" s="43">
        <f t="shared" si="0"/>
        <v>0</v>
      </c>
      <c r="P20" s="46">
        <f t="shared" si="5"/>
        <v>0</v>
      </c>
    </row>
    <row r="21" spans="1:16" ht="18.75" customHeight="1" x14ac:dyDescent="0.25">
      <c r="A21" s="39" t="s">
        <v>135</v>
      </c>
      <c r="B21" s="47" t="s">
        <v>103</v>
      </c>
      <c r="C21" s="127">
        <f>B2</f>
        <v>5000</v>
      </c>
      <c r="D21" s="50" t="s">
        <v>50</v>
      </c>
      <c r="E21" s="131">
        <f>Unccalc1!E21</f>
        <v>0</v>
      </c>
      <c r="F21" s="42" t="str">
        <f t="shared" si="1"/>
        <v>%</v>
      </c>
      <c r="G21" s="135">
        <f>Unccalc1!G21</f>
        <v>1</v>
      </c>
      <c r="H21" s="136">
        <f>Unccalc1!H21</f>
        <v>1</v>
      </c>
      <c r="I21" s="43">
        <f t="shared" si="2"/>
        <v>0</v>
      </c>
      <c r="J21" s="44">
        <f t="shared" si="3"/>
        <v>0</v>
      </c>
      <c r="K21" s="39">
        <v>1</v>
      </c>
      <c r="L21" s="43">
        <v>1</v>
      </c>
      <c r="M21" s="45">
        <f t="shared" si="4"/>
        <v>0</v>
      </c>
      <c r="N21" s="145">
        <f>Unccalc1!N21</f>
        <v>30</v>
      </c>
      <c r="O21" s="43">
        <f t="shared" si="0"/>
        <v>0</v>
      </c>
      <c r="P21" s="46">
        <f t="shared" si="5"/>
        <v>0</v>
      </c>
    </row>
    <row r="22" spans="1:16" ht="18.75" customHeight="1" x14ac:dyDescent="0.25">
      <c r="A22" s="39" t="s">
        <v>62</v>
      </c>
      <c r="B22" s="47" t="s">
        <v>103</v>
      </c>
      <c r="C22" s="127">
        <f>B2</f>
        <v>5000</v>
      </c>
      <c r="D22" s="50" t="s">
        <v>50</v>
      </c>
      <c r="E22" s="131">
        <f>Unccalc1!E22</f>
        <v>1.5E-5</v>
      </c>
      <c r="F22" s="42" t="str">
        <f t="shared" si="1"/>
        <v>%</v>
      </c>
      <c r="G22" s="135">
        <f>Unccalc1!G22</f>
        <v>1</v>
      </c>
      <c r="H22" s="136">
        <f>Unccalc1!H22</f>
        <v>1</v>
      </c>
      <c r="I22" s="43">
        <f t="shared" si="2"/>
        <v>7.5000000000000002E-4</v>
      </c>
      <c r="J22" s="44">
        <f t="shared" si="3"/>
        <v>3.7500000000000001E-4</v>
      </c>
      <c r="K22" s="39">
        <v>1</v>
      </c>
      <c r="L22" s="43">
        <v>1</v>
      </c>
      <c r="M22" s="45">
        <f t="shared" si="4"/>
        <v>3.7500000000000001E-4</v>
      </c>
      <c r="N22" s="145">
        <f>Unccalc1!N22</f>
        <v>30</v>
      </c>
      <c r="O22" s="43">
        <f t="shared" si="0"/>
        <v>1.40625E-7</v>
      </c>
      <c r="P22" s="46">
        <f t="shared" si="5"/>
        <v>0.15</v>
      </c>
    </row>
    <row r="23" spans="1:16" ht="18.75" customHeight="1" x14ac:dyDescent="0.25">
      <c r="A23" s="39" t="s">
        <v>134</v>
      </c>
      <c r="B23" s="47" t="s">
        <v>103</v>
      </c>
      <c r="C23" s="127">
        <f>B2</f>
        <v>5000</v>
      </c>
      <c r="D23" s="50" t="s">
        <v>50</v>
      </c>
      <c r="E23" s="131">
        <f>Unccalc1!E23</f>
        <v>6.0000000000000001E-3</v>
      </c>
      <c r="F23" s="42" t="str">
        <f t="shared" si="1"/>
        <v>Pa</v>
      </c>
      <c r="G23" s="135">
        <f>Unccalc1!G23</f>
        <v>2</v>
      </c>
      <c r="H23" s="136">
        <f>Unccalc1!H23</f>
        <v>1</v>
      </c>
      <c r="I23" s="43">
        <f t="shared" si="2"/>
        <v>6.0000000000000001E-3</v>
      </c>
      <c r="J23" s="44">
        <f t="shared" si="3"/>
        <v>3.0000000000000001E-3</v>
      </c>
      <c r="K23" s="39">
        <v>1</v>
      </c>
      <c r="L23" s="43">
        <v>1</v>
      </c>
      <c r="M23" s="45">
        <f t="shared" si="4"/>
        <v>3.0000000000000001E-3</v>
      </c>
      <c r="N23" s="145">
        <f>Unccalc1!N23</f>
        <v>30</v>
      </c>
      <c r="O23" s="43">
        <f t="shared" si="0"/>
        <v>9.0000000000000002E-6</v>
      </c>
      <c r="P23" s="46">
        <f t="shared" si="5"/>
        <v>1.2</v>
      </c>
    </row>
    <row r="24" spans="1:16" ht="18.75" customHeight="1" thickBot="1" x14ac:dyDescent="0.3">
      <c r="A24" s="52" t="s">
        <v>25</v>
      </c>
      <c r="B24" s="53" t="s">
        <v>16</v>
      </c>
      <c r="C24" s="128">
        <f>Unccalc1!C24</f>
        <v>9.8051600000000007E-4</v>
      </c>
      <c r="D24" s="54" t="s">
        <v>17</v>
      </c>
      <c r="E24" s="132">
        <f>Unccalc1!E24</f>
        <v>-4.6304915694569943E-5</v>
      </c>
      <c r="F24" s="55" t="str">
        <f t="shared" si="1"/>
        <v>%</v>
      </c>
      <c r="G24" s="137">
        <f>Unccalc1!G24</f>
        <v>1</v>
      </c>
      <c r="H24" s="138">
        <f>Unccalc1!H24</f>
        <v>2</v>
      </c>
      <c r="I24" s="56">
        <f t="shared" si="2"/>
        <v>-4.5402710717176948E-10</v>
      </c>
      <c r="J24" s="57">
        <f t="shared" si="3"/>
        <v>-2.6213267254500821E-10</v>
      </c>
      <c r="K24" s="52" t="s">
        <v>88</v>
      </c>
      <c r="L24" s="56">
        <f>1/C24*B$2</f>
        <v>5099355.8493691077</v>
      </c>
      <c r="M24" s="58">
        <f t="shared" si="4"/>
        <v>-1.3367077770531446E-3</v>
      </c>
      <c r="N24" s="147">
        <f>Unccalc1!N24</f>
        <v>30</v>
      </c>
      <c r="O24" s="56">
        <f t="shared" si="0"/>
        <v>1.7867876812343593E-6</v>
      </c>
      <c r="P24" s="59">
        <f t="shared" si="5"/>
        <v>0.53468311082125786</v>
      </c>
    </row>
    <row r="25" spans="1:16" ht="18.75" customHeight="1" thickBot="1" x14ac:dyDescent="0.3">
      <c r="A25" s="290" t="s">
        <v>26</v>
      </c>
      <c r="B25" s="291"/>
      <c r="C25" s="291"/>
      <c r="D25" s="292"/>
      <c r="E25" s="111"/>
      <c r="F25" s="112"/>
      <c r="G25" s="113"/>
      <c r="H25" s="114"/>
      <c r="I25" s="105"/>
      <c r="J25" s="106"/>
      <c r="K25" s="107"/>
      <c r="L25" s="108"/>
      <c r="M25" s="115"/>
      <c r="N25" s="109"/>
      <c r="O25" s="108"/>
      <c r="P25" s="110"/>
    </row>
    <row r="26" spans="1:16" ht="18.75" customHeight="1" x14ac:dyDescent="0.25">
      <c r="A26" s="60" t="s">
        <v>27</v>
      </c>
      <c r="B26" s="61" t="s">
        <v>28</v>
      </c>
      <c r="C26" s="62">
        <f>B2/B5</f>
        <v>0.49992403114213324</v>
      </c>
      <c r="D26" s="63" t="s">
        <v>29</v>
      </c>
      <c r="E26" s="129">
        <f>Unccalc1!E26</f>
        <v>5.0000000000000001E-4</v>
      </c>
      <c r="F26" s="34" t="str">
        <f>IF(G26=1,"%",IF(G26=2,D26,"ERR"))</f>
        <v>%</v>
      </c>
      <c r="G26" s="141">
        <f>Unccalc1!G26</f>
        <v>1</v>
      </c>
      <c r="H26" s="142">
        <f>Unccalc1!H26</f>
        <v>1</v>
      </c>
      <c r="I26" s="35">
        <f>IF(G26=1,E26/100*C26,E26)</f>
        <v>2.4996201557106663E-6</v>
      </c>
      <c r="J26" s="64">
        <f t="shared" si="3"/>
        <v>1.2498100778553331E-6</v>
      </c>
      <c r="K26" s="65" t="s">
        <v>165</v>
      </c>
      <c r="L26" s="66">
        <f>B5</f>
        <v>10001.519608043111</v>
      </c>
      <c r="M26" s="37">
        <f>L26*J26</f>
        <v>1.2500000000000001E-2</v>
      </c>
      <c r="N26" s="144">
        <f>Unccalc1!N26</f>
        <v>30</v>
      </c>
      <c r="O26" s="66">
        <f t="shared" si="0"/>
        <v>1.5625000000000003E-4</v>
      </c>
      <c r="P26" s="38">
        <f>M26/B$2*2000000</f>
        <v>5</v>
      </c>
    </row>
    <row r="27" spans="1:16" ht="18.75" customHeight="1" x14ac:dyDescent="0.25">
      <c r="A27" s="39" t="s">
        <v>92</v>
      </c>
      <c r="B27" s="49" t="s">
        <v>28</v>
      </c>
      <c r="C27" s="67">
        <f>C26</f>
        <v>0.49992403114213324</v>
      </c>
      <c r="D27" s="50" t="s">
        <v>29</v>
      </c>
      <c r="E27" s="131">
        <f>Unccalc1!E27</f>
        <v>0</v>
      </c>
      <c r="F27" s="42" t="str">
        <f>IF(G27=1,"%",IF(G27=2,D27,"ERR"))</f>
        <v>%</v>
      </c>
      <c r="G27" s="143">
        <f>Unccalc1!G27</f>
        <v>1</v>
      </c>
      <c r="H27" s="136">
        <f>Unccalc1!H27</f>
        <v>2</v>
      </c>
      <c r="I27" s="43">
        <f>IF(G27=1,E27/100*C27,E27)</f>
        <v>0</v>
      </c>
      <c r="J27" s="44">
        <f t="shared" si="3"/>
        <v>0</v>
      </c>
      <c r="K27" s="39" t="s">
        <v>165</v>
      </c>
      <c r="L27" s="43">
        <f>B5</f>
        <v>10001.519608043111</v>
      </c>
      <c r="M27" s="45">
        <f>L27*J27</f>
        <v>0</v>
      </c>
      <c r="N27" s="145">
        <f>Unccalc1!N27</f>
        <v>30</v>
      </c>
      <c r="O27" s="43">
        <f t="shared" si="0"/>
        <v>0</v>
      </c>
      <c r="P27" s="46">
        <f>SQRT(O27)/B$2*2000000</f>
        <v>0</v>
      </c>
    </row>
    <row r="28" spans="1:16" ht="18.75" customHeight="1" x14ac:dyDescent="0.2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IF(B$3=4,0,IF(H28=1,I28/2,I28/SQRT(3)))</f>
        <v>0</v>
      </c>
      <c r="K28" s="39" t="s">
        <v>165</v>
      </c>
      <c r="L28" s="43">
        <f>B5</f>
        <v>10001.519608043111</v>
      </c>
      <c r="M28" s="45">
        <f t="shared" ref="M28:M36" si="8">L28*J28</f>
        <v>0</v>
      </c>
      <c r="N28" s="145">
        <f>Unccalc1!N28</f>
        <v>30</v>
      </c>
      <c r="O28" s="43">
        <f t="shared" si="0"/>
        <v>0</v>
      </c>
      <c r="P28" s="46">
        <f t="shared" ref="P28:P38" si="9">SQRT(O28)/B$2*2000000</f>
        <v>0</v>
      </c>
    </row>
    <row r="29" spans="1:16" ht="18.75" customHeight="1" x14ac:dyDescent="0.25">
      <c r="A29" s="39" t="s">
        <v>200</v>
      </c>
      <c r="B29" s="49" t="s">
        <v>28</v>
      </c>
      <c r="C29" s="127">
        <f>Unccalc1!C29</f>
        <v>5.0000000000000004E-6</v>
      </c>
      <c r="D29" s="50" t="s">
        <v>29</v>
      </c>
      <c r="E29" s="131">
        <f>Unccalc1!E29</f>
        <v>5.0000000000000004E-6</v>
      </c>
      <c r="F29" s="42" t="str">
        <f t="shared" si="6"/>
        <v>kg</v>
      </c>
      <c r="G29" s="143">
        <f>Unccalc1!G29</f>
        <v>2</v>
      </c>
      <c r="H29" s="136">
        <f>Unccalc1!H29</f>
        <v>1</v>
      </c>
      <c r="I29" s="43">
        <f t="shared" si="7"/>
        <v>5.0000000000000004E-6</v>
      </c>
      <c r="J29" s="44">
        <f t="shared" ref="J29:J30" si="10">IF(B$3=4,0,IF(H29=1,I29/2,I29/SQRT(3)))</f>
        <v>2.5000000000000002E-6</v>
      </c>
      <c r="K29" s="39" t="s">
        <v>165</v>
      </c>
      <c r="L29" s="43">
        <f>B5</f>
        <v>10001.519608043111</v>
      </c>
      <c r="M29" s="45">
        <f t="shared" si="8"/>
        <v>2.500379902010778E-2</v>
      </c>
      <c r="N29" s="145">
        <f>Unccalc1!N29</f>
        <v>30</v>
      </c>
      <c r="O29" s="43">
        <f t="shared" si="0"/>
        <v>6.2518996543794276E-4</v>
      </c>
      <c r="P29" s="46">
        <f t="shared" si="9"/>
        <v>10.001519608043113</v>
      </c>
    </row>
    <row r="30" spans="1:16" ht="18.75" customHeight="1" x14ac:dyDescent="0.25">
      <c r="A30" s="39" t="s">
        <v>129</v>
      </c>
      <c r="B30" s="49" t="s">
        <v>28</v>
      </c>
      <c r="C30" s="127">
        <f>Unccalc1!C30</f>
        <v>5.0000000000000004E-6</v>
      </c>
      <c r="D30" s="50" t="s">
        <v>29</v>
      </c>
      <c r="E30" s="131">
        <f>Unccalc1!E30</f>
        <v>5.0000000000000004E-6</v>
      </c>
      <c r="F30" s="42" t="str">
        <f t="shared" si="6"/>
        <v>kg</v>
      </c>
      <c r="G30" s="143">
        <f>Unccalc1!G30</f>
        <v>2</v>
      </c>
      <c r="H30" s="136">
        <f>Unccalc1!H30</f>
        <v>1</v>
      </c>
      <c r="I30" s="43">
        <f t="shared" si="7"/>
        <v>5.0000000000000004E-6</v>
      </c>
      <c r="J30" s="44">
        <f t="shared" si="10"/>
        <v>2.5000000000000002E-6</v>
      </c>
      <c r="K30" s="39" t="s">
        <v>165</v>
      </c>
      <c r="L30" s="43">
        <f>B5</f>
        <v>10001.519608043111</v>
      </c>
      <c r="M30" s="45">
        <f t="shared" si="8"/>
        <v>2.500379902010778E-2</v>
      </c>
      <c r="N30" s="145">
        <f>Unccalc1!N30</f>
        <v>30</v>
      </c>
      <c r="O30" s="43">
        <f t="shared" si="0"/>
        <v>6.2518996543794276E-4</v>
      </c>
      <c r="P30" s="46">
        <f t="shared" si="9"/>
        <v>10.001519608043113</v>
      </c>
    </row>
    <row r="31" spans="1:16" ht="18.75" customHeight="1" x14ac:dyDescent="0.25">
      <c r="A31" s="39" t="s">
        <v>30</v>
      </c>
      <c r="B31" s="49" t="s">
        <v>31</v>
      </c>
      <c r="C31" s="127">
        <f>Unccalc1!C31</f>
        <v>9.8066499999999994</v>
      </c>
      <c r="D31" s="50" t="s">
        <v>32</v>
      </c>
      <c r="E31" s="131">
        <f>Unccalc1!E31</f>
        <v>2.0000000000000001E-4</v>
      </c>
      <c r="F31" s="42" t="str">
        <f t="shared" si="6"/>
        <v>%</v>
      </c>
      <c r="G31" s="143">
        <f>Unccalc1!G31</f>
        <v>1</v>
      </c>
      <c r="H31" s="136">
        <f>Unccalc1!H31</f>
        <v>1</v>
      </c>
      <c r="I31" s="43">
        <f t="shared" si="7"/>
        <v>1.9613299999999997E-5</v>
      </c>
      <c r="J31" s="44">
        <f t="shared" si="3"/>
        <v>9.8066499999999987E-6</v>
      </c>
      <c r="K31" s="39" t="s">
        <v>89</v>
      </c>
      <c r="L31" s="43">
        <f>1/C31*B2</f>
        <v>509.85810648896415</v>
      </c>
      <c r="M31" s="45">
        <f t="shared" si="8"/>
        <v>4.9999999999999992E-3</v>
      </c>
      <c r="N31" s="145">
        <f>Unccalc1!N31</f>
        <v>30</v>
      </c>
      <c r="O31" s="43">
        <f t="shared" si="0"/>
        <v>2.4999999999999991E-5</v>
      </c>
      <c r="P31" s="46">
        <f t="shared" si="9"/>
        <v>1.9999999999999996</v>
      </c>
    </row>
    <row r="32" spans="1:16" ht="18.75" customHeight="1" x14ac:dyDescent="0.25">
      <c r="A32" s="39" t="s">
        <v>33</v>
      </c>
      <c r="B32" s="51" t="s">
        <v>34</v>
      </c>
      <c r="C32" s="127">
        <f>Unccalc1!C32</f>
        <v>0</v>
      </c>
      <c r="D32" s="50" t="s">
        <v>35</v>
      </c>
      <c r="E32" s="131">
        <f>Unccalc1!E32</f>
        <v>0</v>
      </c>
      <c r="F32" s="42" t="str">
        <f t="shared" si="6"/>
        <v>kg/m3</v>
      </c>
      <c r="G32" s="143">
        <f>Unccalc1!G32</f>
        <v>2</v>
      </c>
      <c r="H32" s="136">
        <f>Unccalc1!H32</f>
        <v>1</v>
      </c>
      <c r="I32" s="43">
        <f t="shared" si="7"/>
        <v>0</v>
      </c>
      <c r="J32" s="44">
        <f>IF(OR(B$3=1,B3=4),0,IF(H32=1,I32/2,I32/SQRT(3)))</f>
        <v>0</v>
      </c>
      <c r="K32" s="68" t="s">
        <v>90</v>
      </c>
      <c r="L32" s="43">
        <f>1/C36*B2</f>
        <v>0.63131313131313127</v>
      </c>
      <c r="M32" s="45">
        <f t="shared" si="8"/>
        <v>0</v>
      </c>
      <c r="N32" s="145">
        <f>Unccalc1!N32</f>
        <v>30</v>
      </c>
      <c r="O32" s="43">
        <f t="shared" si="0"/>
        <v>0</v>
      </c>
      <c r="P32" s="46">
        <f t="shared" si="9"/>
        <v>0</v>
      </c>
    </row>
    <row r="33" spans="1:16" ht="18.75" customHeight="1" x14ac:dyDescent="0.25">
      <c r="A33" s="39" t="s">
        <v>69</v>
      </c>
      <c r="B33" s="69" t="s">
        <v>75</v>
      </c>
      <c r="C33" s="127">
        <f>Unccalc1!C33</f>
        <v>101325</v>
      </c>
      <c r="D33" s="50" t="s">
        <v>50</v>
      </c>
      <c r="E33" s="131">
        <f>Unccalc1!E33</f>
        <v>200</v>
      </c>
      <c r="F33" s="42" t="str">
        <f t="shared" si="6"/>
        <v>Pa</v>
      </c>
      <c r="G33" s="143">
        <f>Unccalc1!G33</f>
        <v>2</v>
      </c>
      <c r="H33" s="136">
        <f>Unccalc1!H33</f>
        <v>1</v>
      </c>
      <c r="I33" s="43">
        <f t="shared" si="7"/>
        <v>200</v>
      </c>
      <c r="J33" s="44">
        <f>IF(E$32=0,IF(OR(B$3=1,B$3=4),0,IF(H33=1,I33/2,I33/SQRT(3))),0)</f>
        <v>0</v>
      </c>
      <c r="K33" s="118" t="s">
        <v>131</v>
      </c>
      <c r="L33" s="43">
        <f>0.0000015*B2</f>
        <v>7.5000000000000006E-3</v>
      </c>
      <c r="M33" s="45">
        <f>L33*J33/1000</f>
        <v>0</v>
      </c>
      <c r="N33" s="145">
        <f>Unccalc1!N33</f>
        <v>30</v>
      </c>
      <c r="O33" s="43">
        <f t="shared" si="0"/>
        <v>0</v>
      </c>
      <c r="P33" s="46">
        <f t="shared" si="9"/>
        <v>0</v>
      </c>
    </row>
    <row r="34" spans="1:16" ht="18.75" customHeight="1" x14ac:dyDescent="0.25">
      <c r="A34" s="39" t="s">
        <v>70</v>
      </c>
      <c r="B34" s="69" t="s">
        <v>76</v>
      </c>
      <c r="C34" s="127">
        <f>Unccalc1!C34</f>
        <v>23</v>
      </c>
      <c r="D34" s="48" t="s">
        <v>60</v>
      </c>
      <c r="E34" s="131">
        <f>Unccalc1!E34</f>
        <v>1</v>
      </c>
      <c r="F34" s="42" t="str">
        <f t="shared" si="6"/>
        <v>°C</v>
      </c>
      <c r="G34" s="143">
        <f>Unccalc1!G34</f>
        <v>2</v>
      </c>
      <c r="H34" s="136">
        <f>Unccalc1!H34</f>
        <v>1</v>
      </c>
      <c r="I34" s="43">
        <f t="shared" si="7"/>
        <v>1</v>
      </c>
      <c r="J34" s="44">
        <f t="shared" ref="J34:J35" si="11">IF(E$32=0,IF(OR(B$3=1,B$3=4),0,IF(H34=1,I34/2,I34/SQRT(3))),0)</f>
        <v>0</v>
      </c>
      <c r="K34" s="118" t="s">
        <v>132</v>
      </c>
      <c r="L34" s="43">
        <f>0.00000055*B2</f>
        <v>2.7500000000000003E-3</v>
      </c>
      <c r="M34" s="45">
        <f t="shared" si="8"/>
        <v>0</v>
      </c>
      <c r="N34" s="145">
        <f>Unccalc1!N34</f>
        <v>30</v>
      </c>
      <c r="O34" s="43">
        <f t="shared" si="0"/>
        <v>0</v>
      </c>
      <c r="P34" s="46">
        <f t="shared" si="9"/>
        <v>0</v>
      </c>
    </row>
    <row r="35" spans="1:16" ht="18.75" customHeight="1" x14ac:dyDescent="0.25">
      <c r="A35" s="39" t="s">
        <v>71</v>
      </c>
      <c r="B35" s="69" t="s">
        <v>77</v>
      </c>
      <c r="C35" s="127">
        <f>Unccalc1!C35</f>
        <v>50</v>
      </c>
      <c r="D35" s="50" t="s">
        <v>112</v>
      </c>
      <c r="E35" s="131">
        <f>Unccalc1!E35</f>
        <v>10</v>
      </c>
      <c r="F35" s="70" t="str">
        <f t="shared" si="6"/>
        <v>%RH</v>
      </c>
      <c r="G35" s="143">
        <f>Unccalc1!G35</f>
        <v>2</v>
      </c>
      <c r="H35" s="136">
        <f>Unccalc1!H35</f>
        <v>1</v>
      </c>
      <c r="I35" s="43">
        <f t="shared" si="7"/>
        <v>10</v>
      </c>
      <c r="J35" s="44">
        <f t="shared" si="11"/>
        <v>0</v>
      </c>
      <c r="K35" s="118" t="s">
        <v>133</v>
      </c>
      <c r="L35" s="43">
        <f>0.000000012*B2</f>
        <v>6.0000000000000002E-5</v>
      </c>
      <c r="M35" s="45">
        <f t="shared" si="8"/>
        <v>0</v>
      </c>
      <c r="N35" s="145">
        <f>Unccalc1!N35</f>
        <v>30</v>
      </c>
      <c r="O35" s="43">
        <f t="shared" si="0"/>
        <v>0</v>
      </c>
      <c r="P35" s="46">
        <f t="shared" si="9"/>
        <v>0</v>
      </c>
    </row>
    <row r="36" spans="1:16" ht="18.75" customHeight="1" x14ac:dyDescent="0.25">
      <c r="A36" s="39" t="s">
        <v>86</v>
      </c>
      <c r="B36" s="51" t="s">
        <v>36</v>
      </c>
      <c r="C36" s="127">
        <f>Unccalc1!C36</f>
        <v>7920</v>
      </c>
      <c r="D36" s="50" t="s">
        <v>35</v>
      </c>
      <c r="E36" s="131">
        <v>40</v>
      </c>
      <c r="F36" s="70" t="str">
        <f t="shared" si="6"/>
        <v>kg/m3</v>
      </c>
      <c r="G36" s="143">
        <f>Unccalc1!G36</f>
        <v>2</v>
      </c>
      <c r="H36" s="136">
        <f>Unccalc1!H36</f>
        <v>1</v>
      </c>
      <c r="I36" s="43">
        <f t="shared" si="7"/>
        <v>40</v>
      </c>
      <c r="J36" s="44">
        <f>IF(OR(B3=1,B3=4),IF(H36=1,I36/2,I36/SQRT(3)),0)</f>
        <v>20</v>
      </c>
      <c r="K36" s="68" t="s">
        <v>93</v>
      </c>
      <c r="L36" s="43">
        <f>1.2/C36^2*B2</f>
        <v>9.5653504744413841E-5</v>
      </c>
      <c r="M36" s="45">
        <f t="shared" si="8"/>
        <v>1.9130700948882767E-3</v>
      </c>
      <c r="N36" s="145">
        <f>Unccalc1!N36</f>
        <v>30</v>
      </c>
      <c r="O36" s="43">
        <f t="shared" si="0"/>
        <v>3.6598371879558403E-6</v>
      </c>
      <c r="P36" s="46">
        <f t="shared" si="9"/>
        <v>0.76522803795531069</v>
      </c>
    </row>
    <row r="37" spans="1:16" ht="18.75" customHeight="1" x14ac:dyDescent="0.25">
      <c r="A37" s="71" t="s">
        <v>113</v>
      </c>
      <c r="B37" s="72" t="s">
        <v>114</v>
      </c>
      <c r="C37" s="139">
        <f>Unccalc1!C37</f>
        <v>3.2000000000000001E-2</v>
      </c>
      <c r="D37" s="73" t="s">
        <v>115</v>
      </c>
      <c r="E37" s="140">
        <f>Unccalc1!E37</f>
        <v>10</v>
      </c>
      <c r="F37" s="70" t="str">
        <f t="shared" si="6"/>
        <v>%</v>
      </c>
      <c r="G37" s="143">
        <f>Unccalc1!G37</f>
        <v>1</v>
      </c>
      <c r="H37" s="136">
        <f>Unccalc1!H37</f>
        <v>1</v>
      </c>
      <c r="I37" s="43">
        <f t="shared" si="7"/>
        <v>3.2000000000000002E-3</v>
      </c>
      <c r="J37" s="44">
        <f>IF(B3=1,0,IF(OR(B4=2,B4=3),IF(H37=1,I37/2,I37/SQRT(3)),0))</f>
        <v>0</v>
      </c>
      <c r="K37" s="116" t="s">
        <v>126</v>
      </c>
      <c r="L37" s="74">
        <f>(PI()*SQRT(C15/PI())*2)/C15</f>
        <v>113.20812293971888</v>
      </c>
      <c r="M37" s="75">
        <f>L37*J37</f>
        <v>0</v>
      </c>
      <c r="N37" s="146">
        <f>Unccalc1!N37</f>
        <v>30</v>
      </c>
      <c r="O37" s="74">
        <f t="shared" si="0"/>
        <v>0</v>
      </c>
      <c r="P37" s="76">
        <f t="shared" si="9"/>
        <v>0</v>
      </c>
    </row>
    <row r="38" spans="1:16" ht="18.75" customHeight="1" thickBot="1" x14ac:dyDescent="0.3">
      <c r="A38" s="52" t="s">
        <v>37</v>
      </c>
      <c r="B38" s="77" t="s">
        <v>38</v>
      </c>
      <c r="C38" s="128">
        <f>Unccalc1!C38</f>
        <v>0</v>
      </c>
      <c r="D38" s="54" t="s">
        <v>39</v>
      </c>
      <c r="E38" s="132">
        <f>Unccalc1!E38</f>
        <v>0.16700000000000001</v>
      </c>
      <c r="F38" s="55" t="str">
        <f t="shared" si="6"/>
        <v>deg.</v>
      </c>
      <c r="G38" s="137">
        <f>Unccalc1!G38</f>
        <v>2</v>
      </c>
      <c r="H38" s="138">
        <f>Unccalc1!H38</f>
        <v>1</v>
      </c>
      <c r="I38" s="56">
        <f t="shared" si="7"/>
        <v>0.16700000000000001</v>
      </c>
      <c r="J38" s="57">
        <f t="shared" si="3"/>
        <v>8.3500000000000005E-2</v>
      </c>
      <c r="K38" s="52" t="s">
        <v>109</v>
      </c>
      <c r="L38" s="56">
        <f>(1-COS(RADIANS(J38)))*B2</f>
        <v>5.3096710728173235E-3</v>
      </c>
      <c r="M38" s="58">
        <f>L38</f>
        <v>5.3096710728173235E-3</v>
      </c>
      <c r="N38" s="147">
        <f>Unccalc1!N38</f>
        <v>30</v>
      </c>
      <c r="O38" s="56">
        <f t="shared" si="0"/>
        <v>2.8192606901513068E-5</v>
      </c>
      <c r="P38" s="59">
        <f t="shared" si="9"/>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IF(B4=2,B6,IF(B4=3,998.2123,1.1647*G2/C33))</f>
        <v>5.7473476437207009E-2</v>
      </c>
      <c r="D40" s="50" t="s">
        <v>35</v>
      </c>
      <c r="E40" s="149">
        <f>Unccalc1!E40</f>
        <v>0.1</v>
      </c>
      <c r="F40" s="78" t="str">
        <f t="shared" si="6"/>
        <v>%</v>
      </c>
      <c r="G40" s="150">
        <f>Unccalc1!G40</f>
        <v>1</v>
      </c>
      <c r="H40" s="136">
        <f>Unccalc1!H40</f>
        <v>1</v>
      </c>
      <c r="I40" s="35">
        <f>IF(G40=1,E40/100*C40,E40)</f>
        <v>5.7473476437207012E-5</v>
      </c>
      <c r="J40" s="44">
        <f t="shared" si="3"/>
        <v>2.8736738218603506E-5</v>
      </c>
      <c r="K40" s="39" t="s">
        <v>120</v>
      </c>
      <c r="L40" s="43">
        <f>C15*C41/C26*B2</f>
        <v>0.98066500000000001</v>
      </c>
      <c r="M40" s="37">
        <f>L40*J40</f>
        <v>2.8181113385146809E-5</v>
      </c>
      <c r="N40" s="145">
        <f>Unccalc1!N40</f>
        <v>30</v>
      </c>
      <c r="O40" s="43">
        <f t="shared" si="0"/>
        <v>7.9417515162650059E-10</v>
      </c>
      <c r="P40" s="38">
        <f>SQRT(O40)/B$2*2000000</f>
        <v>1.1272445354058722E-2</v>
      </c>
    </row>
    <row r="41" spans="1:16" ht="18.75" customHeight="1" x14ac:dyDescent="0.25">
      <c r="A41" s="39" t="s">
        <v>43</v>
      </c>
      <c r="B41" s="49" t="s">
        <v>44</v>
      </c>
      <c r="C41" s="127">
        <f>Unccalc1!C41</f>
        <v>0.1</v>
      </c>
      <c r="D41" s="50" t="s">
        <v>45</v>
      </c>
      <c r="E41" s="131">
        <f>Unccalc1!E41</f>
        <v>0.01</v>
      </c>
      <c r="F41" s="70" t="str">
        <f t="shared" si="6"/>
        <v>m</v>
      </c>
      <c r="G41" s="143">
        <f>Unccalc1!G41</f>
        <v>2</v>
      </c>
      <c r="H41" s="136">
        <f>Unccalc1!H41</f>
        <v>1</v>
      </c>
      <c r="I41" s="43">
        <f>IF(G41=1,E41/100*C41,E41)</f>
        <v>0.01</v>
      </c>
      <c r="J41" s="44">
        <f t="shared" si="3"/>
        <v>5.0000000000000001E-3</v>
      </c>
      <c r="K41" s="39" t="s">
        <v>130</v>
      </c>
      <c r="L41" s="43">
        <f>IF(B3=1,C31*C40,(C40-C32)*C31)</f>
        <v>0.56362226770293611</v>
      </c>
      <c r="M41" s="45">
        <f>L41*J41</f>
        <v>2.8181113385146806E-3</v>
      </c>
      <c r="N41" s="145">
        <f>Unccalc1!N41</f>
        <v>30</v>
      </c>
      <c r="O41" s="43">
        <f t="shared" si="0"/>
        <v>7.9417515162650042E-6</v>
      </c>
      <c r="P41" s="46">
        <f>SQRT(O41)/B$2*2000000</f>
        <v>1.1272445354058722</v>
      </c>
    </row>
    <row r="42" spans="1:16" ht="18.75" customHeight="1" x14ac:dyDescent="0.25">
      <c r="A42" s="39" t="s">
        <v>46</v>
      </c>
      <c r="B42" s="49" t="s">
        <v>47</v>
      </c>
      <c r="C42" s="127">
        <f>Unccalc1!C42</f>
        <v>7.0000000000000001E-3</v>
      </c>
      <c r="D42" s="50" t="s">
        <v>45</v>
      </c>
      <c r="E42" s="131">
        <f>Unccalc1!E42</f>
        <v>1E-4</v>
      </c>
      <c r="F42" s="70" t="str">
        <f t="shared" si="6"/>
        <v>m</v>
      </c>
      <c r="G42" s="143">
        <f>Unccalc1!G42</f>
        <v>2</v>
      </c>
      <c r="H42" s="136">
        <f>Unccalc1!H42</f>
        <v>1</v>
      </c>
      <c r="I42" s="43">
        <f t="shared" ref="I42:I44" si="12">IF(G42=1,E42/100*C42,E42)</f>
        <v>1E-4</v>
      </c>
      <c r="J42" s="44">
        <f t="shared" si="3"/>
        <v>5.0000000000000002E-5</v>
      </c>
      <c r="K42" s="39" t="s">
        <v>130</v>
      </c>
      <c r="L42" s="43">
        <f>IF(B3=1,C31*C40,(C40-C32)*C31)</f>
        <v>0.56362226770293611</v>
      </c>
      <c r="M42" s="45">
        <f t="shared" ref="M42:M45" si="13">L42*J42</f>
        <v>2.8181113385146805E-5</v>
      </c>
      <c r="N42" s="145">
        <f>Unccalc1!N42</f>
        <v>30</v>
      </c>
      <c r="O42" s="43">
        <f t="shared" si="0"/>
        <v>7.9417515162650038E-10</v>
      </c>
      <c r="P42" s="46">
        <f t="shared" ref="P42:P45" si="14">SQRT(O42)/B$2*2000000</f>
        <v>1.1272445354058722E-2</v>
      </c>
    </row>
    <row r="43" spans="1:16" ht="18.75" customHeight="1" x14ac:dyDescent="0.25">
      <c r="A43" s="39" t="s">
        <v>65</v>
      </c>
      <c r="B43" s="49" t="s">
        <v>66</v>
      </c>
      <c r="C43" s="127">
        <f>Unccalc1!C43</f>
        <v>101325</v>
      </c>
      <c r="D43" s="50" t="s">
        <v>50</v>
      </c>
      <c r="E43" s="131">
        <f>Unccalc1!E43</f>
        <v>10</v>
      </c>
      <c r="F43" s="70" t="str">
        <f t="shared" si="6"/>
        <v>Pa</v>
      </c>
      <c r="G43" s="143">
        <f>Unccalc1!G43</f>
        <v>2</v>
      </c>
      <c r="H43" s="136">
        <f>Unccalc1!H43</f>
        <v>1</v>
      </c>
      <c r="I43" s="43">
        <f t="shared" si="12"/>
        <v>10</v>
      </c>
      <c r="J43" s="44">
        <f>IF(B3=3,IF(H43=1,I43/2,I43/SQRT(3)),0)</f>
        <v>0</v>
      </c>
      <c r="K43" s="39">
        <v>1</v>
      </c>
      <c r="L43" s="43">
        <v>1</v>
      </c>
      <c r="M43" s="45">
        <f t="shared" si="13"/>
        <v>0</v>
      </c>
      <c r="N43" s="145">
        <f>Unccalc1!N43</f>
        <v>30</v>
      </c>
      <c r="O43" s="43">
        <f t="shared" si="0"/>
        <v>0</v>
      </c>
      <c r="P43" s="46">
        <f t="shared" si="14"/>
        <v>0</v>
      </c>
    </row>
    <row r="44" spans="1:16" ht="18.75" customHeight="1" x14ac:dyDescent="0.25">
      <c r="A44" s="39" t="s">
        <v>48</v>
      </c>
      <c r="B44" s="49" t="s">
        <v>49</v>
      </c>
      <c r="C44" s="127">
        <f>Unccalc1!C44</f>
        <v>2</v>
      </c>
      <c r="D44" s="50" t="s">
        <v>50</v>
      </c>
      <c r="E44" s="131">
        <f>Unccalc1!E44</f>
        <v>10</v>
      </c>
      <c r="F44" s="70" t="str">
        <f t="shared" si="6"/>
        <v>%</v>
      </c>
      <c r="G44" s="143">
        <f>Unccalc1!G44</f>
        <v>1</v>
      </c>
      <c r="H44" s="136">
        <f>Unccalc1!H44</f>
        <v>1</v>
      </c>
      <c r="I44" s="43">
        <f t="shared" si="12"/>
        <v>0.2</v>
      </c>
      <c r="J44" s="44">
        <f>IF(B4&lt;&gt;1,0,IF(B3=1,IF(H44=1,I44/2,I44/SQRT(3)),0))</f>
        <v>0.1</v>
      </c>
      <c r="K44" s="39">
        <v>1</v>
      </c>
      <c r="L44" s="43">
        <v>1</v>
      </c>
      <c r="M44" s="45">
        <f t="shared" si="13"/>
        <v>0.1</v>
      </c>
      <c r="N44" s="145">
        <f>Unccalc1!N44</f>
        <v>30</v>
      </c>
      <c r="O44" s="43">
        <f t="shared" si="0"/>
        <v>1.0000000000000002E-2</v>
      </c>
      <c r="P44" s="46">
        <f t="shared" si="14"/>
        <v>40</v>
      </c>
    </row>
    <row r="45" spans="1:16" ht="18.75" customHeight="1" thickBot="1" x14ac:dyDescent="0.3">
      <c r="A45" s="71" t="s">
        <v>199</v>
      </c>
      <c r="B45" s="79" t="s">
        <v>103</v>
      </c>
      <c r="C45" s="139">
        <f>B2</f>
        <v>5000</v>
      </c>
      <c r="D45" s="73" t="s">
        <v>50</v>
      </c>
      <c r="E45" s="132">
        <f>Unccalc1!E45</f>
        <v>0.4</v>
      </c>
      <c r="F45" s="80" t="str">
        <f t="shared" si="6"/>
        <v>Pa</v>
      </c>
      <c r="G45" s="151">
        <f>Unccalc1!G45</f>
        <v>2</v>
      </c>
      <c r="H45" s="152">
        <f>Unccalc1!H45</f>
        <v>1</v>
      </c>
      <c r="I45" s="43">
        <f>IF(B3=4,IF(G45=1,E45/100*C45,E45),0)</f>
        <v>0</v>
      </c>
      <c r="J45" s="81">
        <f t="shared" si="3"/>
        <v>0</v>
      </c>
      <c r="K45" s="71">
        <v>1</v>
      </c>
      <c r="L45" s="74">
        <v>1</v>
      </c>
      <c r="M45" s="75">
        <f t="shared" si="13"/>
        <v>0</v>
      </c>
      <c r="N45" s="146">
        <f>Unccalc1!N45</f>
        <v>30</v>
      </c>
      <c r="O45" s="74">
        <f t="shared" si="0"/>
        <v>0</v>
      </c>
      <c r="P45" s="76">
        <f t="shared" si="14"/>
        <v>0</v>
      </c>
    </row>
    <row r="46" spans="1:16" x14ac:dyDescent="0.25">
      <c r="A46" s="82"/>
      <c r="B46" s="82"/>
      <c r="C46" s="82"/>
      <c r="D46" s="82"/>
      <c r="E46" s="82"/>
      <c r="F46" s="82"/>
      <c r="G46" s="82"/>
      <c r="H46" s="82"/>
      <c r="I46" s="4"/>
      <c r="J46" s="83"/>
      <c r="K46" s="84"/>
      <c r="L46" s="85" t="s">
        <v>51</v>
      </c>
      <c r="M46" s="86">
        <f>SUM(O15:O45)</f>
        <v>1.1997040655075659E-2</v>
      </c>
      <c r="N46" s="87" t="s">
        <v>50</v>
      </c>
      <c r="O46" s="6"/>
      <c r="P46" s="88" t="s">
        <v>100</v>
      </c>
    </row>
    <row r="47" spans="1:16" x14ac:dyDescent="0.25">
      <c r="J47" s="89"/>
      <c r="K47" s="90"/>
      <c r="L47" s="89" t="s">
        <v>52</v>
      </c>
      <c r="M47" s="91">
        <f>SQRT(M46)</f>
        <v>0.10953100316839821</v>
      </c>
      <c r="N47" s="92" t="s">
        <v>50</v>
      </c>
      <c r="O47" s="13" t="s">
        <v>99</v>
      </c>
      <c r="P47" s="93">
        <f>TINV((100-B10)/100,VALUE(P48))</f>
        <v>2.0180817028184461</v>
      </c>
    </row>
    <row r="48" spans="1:16" ht="15.75" thickBot="1" x14ac:dyDescent="0.3">
      <c r="J48" s="89"/>
      <c r="K48" s="90"/>
      <c r="L48" s="94" t="str">
        <f>"Expanded Uncertainty ("&amp;B10&amp;"%):"</f>
        <v>Expanded Uncertainty (95%):</v>
      </c>
      <c r="M48" s="95">
        <f>M47*P47</f>
        <v>0.22104251338549369</v>
      </c>
      <c r="N48" s="92" t="s">
        <v>50</v>
      </c>
      <c r="O48" s="20" t="s">
        <v>56</v>
      </c>
      <c r="P48" s="96">
        <f>M47^4/(M15^4/N15+M16^4/N16+M17^4/N17+M18^4/N18+M19^4/N19+M20^4/N20+M22^4/N22+M24^4/N24+M26^4/N26+M27^4/N27+M28^4/N28+M31^4/N31+M32^4/N32+M33^4/N33+M34^4/N34+M35^4/N35+M36^4/N36+M38^4/N38+M40^4/N40+M41^4/N41+M42^4/N42+M43^4/N43+M44^4/N44+M45^4/N45+M21^4/N21+M23^4/N23+M29^4/N29+M30^4/N30+M37^4/N37)</f>
        <v>42.724093922114861</v>
      </c>
    </row>
    <row r="49" spans="1:14" ht="15.75" thickBot="1" x14ac:dyDescent="0.3">
      <c r="K49" s="97"/>
      <c r="L49" s="98" t="str">
        <f>"Expanded Uncertainty ("&amp;B10&amp;"%):"</f>
        <v>Expanded Uncertainty (95%):</v>
      </c>
      <c r="M49" s="99">
        <f>M47*P47/B2*1000000</f>
        <v>44.208502677098735</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9">
    <mergeCell ref="A39:D39"/>
    <mergeCell ref="A1:I1"/>
    <mergeCell ref="A11:D11"/>
    <mergeCell ref="E11:J11"/>
    <mergeCell ref="K11:P11"/>
    <mergeCell ref="E12:F12"/>
    <mergeCell ref="E13:F13"/>
    <mergeCell ref="A14:D14"/>
    <mergeCell ref="A25:D25"/>
  </mergeCells>
  <conditionalFormatting sqref="A32:I35 K32:P35">
    <cfRule type="expression" dxfId="14" priority="16">
      <formula>$B$3=1</formula>
    </cfRule>
  </conditionalFormatting>
  <conditionalFormatting sqref="A36:P36">
    <cfRule type="expression" dxfId="13" priority="14">
      <formula>$B$3=3</formula>
    </cfRule>
    <cfRule type="expression" dxfId="12" priority="15">
      <formula>$B$3=2</formula>
    </cfRule>
  </conditionalFormatting>
  <conditionalFormatting sqref="A37:P37">
    <cfRule type="expression" dxfId="11" priority="12">
      <formula>$B$3=1</formula>
    </cfRule>
    <cfRule type="expression" dxfId="10" priority="13">
      <formula>$B$4=1</formula>
    </cfRule>
  </conditionalFormatting>
  <conditionalFormatting sqref="A33:I35 K33:P35">
    <cfRule type="expression" dxfId="9" priority="11">
      <formula>$E$32&lt;&gt;0</formula>
    </cfRule>
  </conditionalFormatting>
  <conditionalFormatting sqref="A43:P43">
    <cfRule type="expression" dxfId="8" priority="10">
      <formula>$B$3&lt;&gt;3</formula>
    </cfRule>
  </conditionalFormatting>
  <conditionalFormatting sqref="A44:P44">
    <cfRule type="expression" dxfId="7" priority="8">
      <formula>$B$4&lt;&gt;1</formula>
    </cfRule>
    <cfRule type="expression" dxfId="6" priority="9">
      <formula>$B$3&lt;&gt;1</formula>
    </cfRule>
  </conditionalFormatting>
  <conditionalFormatting sqref="I45">
    <cfRule type="expression" dxfId="5" priority="7">
      <formula>$B$3&lt;&gt;4</formula>
    </cfRule>
  </conditionalFormatting>
  <conditionalFormatting sqref="J32:J35">
    <cfRule type="expression" dxfId="4" priority="4">
      <formula>$B$3=4</formula>
    </cfRule>
    <cfRule type="expression" dxfId="3" priority="6">
      <formula>$B$3=1</formula>
    </cfRule>
  </conditionalFormatting>
  <conditionalFormatting sqref="J33:J35">
    <cfRule type="expression" dxfId="2" priority="5">
      <formula>$E$32&lt;&gt;0</formula>
    </cfRule>
  </conditionalFormatting>
  <conditionalFormatting sqref="J28:J30">
    <cfRule type="expression" dxfId="1" priority="2">
      <formula>$B$3=4</formula>
    </cfRule>
  </conditionalFormatting>
  <conditionalFormatting sqref="A45">
    <cfRule type="expression" dxfId="0" priority="1">
      <formula>$B$3&lt;&gt;4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50"/>
  <sheetViews>
    <sheetView zoomScaleNormal="100" workbookViewId="0">
      <selection activeCell="K14" sqref="K14"/>
    </sheetView>
  </sheetViews>
  <sheetFormatPr defaultRowHeight="12.75" x14ac:dyDescent="0.2"/>
  <cols>
    <col min="1" max="1" width="15.7109375" style="154" bestFit="1" customWidth="1"/>
    <col min="2" max="2" width="12.5703125" style="154" bestFit="1" customWidth="1"/>
    <col min="3" max="3" width="16.42578125" style="154" bestFit="1" customWidth="1"/>
    <col min="4" max="5" width="11.5703125" style="154" bestFit="1" customWidth="1"/>
    <col min="6" max="6" width="10.7109375" style="154" bestFit="1" customWidth="1"/>
    <col min="7" max="7" width="13.7109375" style="154" customWidth="1"/>
    <col min="8" max="8" width="14.85546875" style="154" customWidth="1"/>
    <col min="9" max="9" width="15.28515625" style="154" customWidth="1"/>
    <col min="10" max="10" width="15.5703125" style="154" customWidth="1"/>
    <col min="11" max="11" width="18.140625" style="154" customWidth="1"/>
    <col min="12" max="12" width="20.85546875" style="154" customWidth="1"/>
    <col min="13" max="13" width="12.5703125" style="154" customWidth="1"/>
    <col min="14" max="16384" width="9.140625" style="154"/>
  </cols>
  <sheetData>
    <row r="1" spans="1:14" ht="38.25" x14ac:dyDescent="0.25">
      <c r="A1" s="200" t="s">
        <v>140</v>
      </c>
      <c r="B1" s="201" t="s">
        <v>202</v>
      </c>
      <c r="C1" s="202" t="s">
        <v>177</v>
      </c>
      <c r="D1" s="200" t="s">
        <v>175</v>
      </c>
      <c r="E1" s="214" t="s">
        <v>174</v>
      </c>
      <c r="F1" s="203" t="s">
        <v>171</v>
      </c>
      <c r="G1" s="203" t="s">
        <v>169</v>
      </c>
      <c r="H1" s="204" t="s">
        <v>170</v>
      </c>
      <c r="I1" s="204" t="s">
        <v>172</v>
      </c>
      <c r="J1" s="204" t="s">
        <v>173</v>
      </c>
      <c r="K1" s="205" t="s">
        <v>176</v>
      </c>
      <c r="L1" s="205" t="s">
        <v>184</v>
      </c>
      <c r="M1"/>
      <c r="N1"/>
    </row>
    <row r="2" spans="1:14" ht="15.75" thickBot="1" x14ac:dyDescent="0.3">
      <c r="A2" s="233">
        <f>MAX(A9:A26)+L2/12*365</f>
        <v>42867</v>
      </c>
      <c r="B2" s="206">
        <f>SLOPE(B9:B26,A9:A26)</f>
        <v>-2.0729346102484327E-8</v>
      </c>
      <c r="C2" s="207">
        <f>INTERCEPT(B9:B26,A9:A26)</f>
        <v>49.019922921233494</v>
      </c>
      <c r="D2" s="215">
        <f ca="1">A2-NOW()</f>
        <v>-489.57001354167005</v>
      </c>
      <c r="E2" s="216">
        <f ca="1">NOW()-MAX(A9:A26)</f>
        <v>1584.5700135416701</v>
      </c>
      <c r="F2" s="208">
        <f>COUNT(E9:E25)</f>
        <v>9</v>
      </c>
      <c r="G2" s="208">
        <f>SUMSQ(E9:E25)</f>
        <v>81167002</v>
      </c>
      <c r="H2" s="208">
        <f>SUM(E9:E26)^2</f>
        <v>467164996</v>
      </c>
      <c r="I2" s="207">
        <f>G2-(H2/F2)</f>
        <v>29259780.222222224</v>
      </c>
      <c r="J2" s="208">
        <f>AVERAGE(E9:E26)</f>
        <v>2401.5555555555557</v>
      </c>
      <c r="K2" s="209">
        <f>STEYX(B9:B26,A9:A26)</f>
        <v>1.6063643893123736E-4</v>
      </c>
      <c r="L2" s="234">
        <v>36</v>
      </c>
      <c r="M2"/>
      <c r="N2"/>
    </row>
    <row r="3" spans="1:14" ht="15.75" thickBot="1" x14ac:dyDescent="0.3">
      <c r="A3" s="210"/>
      <c r="B3" s="211"/>
      <c r="C3" s="212" t="s">
        <v>181</v>
      </c>
      <c r="D3" s="235">
        <f ca="1">2*K2*(SQRT(1+(1/$F$2)+((((MAX(E9:E25)+D2+E2)-$J$2)^2/$I$2))))</f>
        <v>4.1365488514624076E-4</v>
      </c>
      <c r="E3" s="235">
        <f ca="1">2*K2*(SQRT(1+(1/$F$2)+((((MAX(E9:E25)+E2))-$J$2)^2/$I$2)))</f>
        <v>4.3101034438885484E-4</v>
      </c>
      <c r="F3" s="227" t="s">
        <v>230</v>
      </c>
      <c r="G3" s="213"/>
      <c r="H3" s="198"/>
      <c r="I3" s="198"/>
      <c r="J3" s="198"/>
      <c r="K3" s="199"/>
      <c r="L3" s="199"/>
      <c r="M3"/>
      <c r="N3"/>
    </row>
    <row r="4" spans="1:14" ht="15" x14ac:dyDescent="0.25">
      <c r="A4" s="170" t="s">
        <v>185</v>
      </c>
      <c r="B4" s="155"/>
      <c r="D4" s="236">
        <f ca="1">D3/C2*1000000</f>
        <v>8.4385054177035812</v>
      </c>
      <c r="E4" s="236">
        <f ca="1">E3/C2*1000000</f>
        <v>8.7925545105693796</v>
      </c>
      <c r="F4" s="235" t="s">
        <v>141</v>
      </c>
      <c r="G4" s="153"/>
    </row>
    <row r="5" spans="1:14" ht="13.5" thickBot="1" x14ac:dyDescent="0.25">
      <c r="G5" s="156"/>
    </row>
    <row r="6" spans="1:14" ht="15" x14ac:dyDescent="0.25">
      <c r="A6" s="237" t="s">
        <v>136</v>
      </c>
      <c r="B6" s="238" t="s">
        <v>15</v>
      </c>
      <c r="C6" s="238" t="s">
        <v>192</v>
      </c>
      <c r="D6" s="238" t="s">
        <v>192</v>
      </c>
      <c r="E6" s="239" t="s">
        <v>157</v>
      </c>
      <c r="F6" s="240" t="s">
        <v>178</v>
      </c>
      <c r="G6" s="240" t="s">
        <v>179</v>
      </c>
      <c r="H6" s="240" t="s">
        <v>180</v>
      </c>
      <c r="I6" s="241" t="s">
        <v>187</v>
      </c>
      <c r="K6" s="155" t="s">
        <v>195</v>
      </c>
    </row>
    <row r="7" spans="1:14" x14ac:dyDescent="0.2">
      <c r="A7" s="242"/>
      <c r="B7" s="243" t="s">
        <v>10</v>
      </c>
      <c r="C7" s="243" t="s">
        <v>138</v>
      </c>
      <c r="D7" s="243" t="s">
        <v>138</v>
      </c>
      <c r="E7" s="244"/>
      <c r="F7" s="235"/>
      <c r="G7" s="235"/>
      <c r="H7" s="235"/>
      <c r="I7" s="245"/>
      <c r="K7" s="232">
        <f>FORECAST(A2,F9:F26,A9:A26)</f>
        <v>49.019034316354123</v>
      </c>
    </row>
    <row r="8" spans="1:14" x14ac:dyDescent="0.2">
      <c r="A8" s="246"/>
      <c r="B8" s="247" t="s">
        <v>191</v>
      </c>
      <c r="C8" s="247" t="s">
        <v>189</v>
      </c>
      <c r="D8" s="247" t="s">
        <v>191</v>
      </c>
      <c r="E8" s="244"/>
      <c r="F8" s="247" t="s">
        <v>188</v>
      </c>
      <c r="G8" s="247" t="s">
        <v>188</v>
      </c>
      <c r="H8" s="247" t="s">
        <v>188</v>
      </c>
      <c r="I8" s="245" t="s">
        <v>189</v>
      </c>
      <c r="K8" s="155" t="s">
        <v>190</v>
      </c>
    </row>
    <row r="9" spans="1:14" x14ac:dyDescent="0.2">
      <c r="A9" s="220">
        <v>36466</v>
      </c>
      <c r="B9" s="225">
        <v>49.019165999999998</v>
      </c>
      <c r="C9" s="226">
        <v>16</v>
      </c>
      <c r="D9" s="256">
        <f>B9*C9/1000000</f>
        <v>7.84306656E-4</v>
      </c>
      <c r="E9" s="229">
        <f t="shared" ref="E9:E17" si="0">A9-A$9</f>
        <v>0</v>
      </c>
      <c r="F9" s="248">
        <f t="shared" ref="F9:F17" si="1">A9*$B$2+$C$2</f>
        <v>49.01916700489852</v>
      </c>
      <c r="G9" s="230">
        <f>F9+2*$K$2*(SQRT(1+(1/$F$2)+(((A9-$A$9)-$J$2)^2)/$I$2))</f>
        <v>49.019534469119066</v>
      </c>
      <c r="H9" s="230">
        <f>F9-2*$K$2*(SQRT(1+(1/$F$2)+(((A9-$A$9)-$J$2)^2)/$I$2))</f>
        <v>49.018799540677975</v>
      </c>
      <c r="I9" s="249">
        <f>(F9-B9)/B9*1000000</f>
        <v>2.0500114623087162E-2</v>
      </c>
      <c r="K9" s="250">
        <f ca="1">D4</f>
        <v>8.4385054177035812</v>
      </c>
    </row>
    <row r="10" spans="1:14" x14ac:dyDescent="0.2">
      <c r="A10" s="220">
        <v>36839</v>
      </c>
      <c r="B10" s="225">
        <v>49.019437000000003</v>
      </c>
      <c r="C10" s="226">
        <v>16</v>
      </c>
      <c r="D10" s="256">
        <f t="shared" ref="D10:D17" si="2">B10*C10/1000000</f>
        <v>7.8431099200000002E-4</v>
      </c>
      <c r="E10" s="229">
        <f t="shared" si="0"/>
        <v>373</v>
      </c>
      <c r="F10" s="248">
        <f t="shared" si="1"/>
        <v>49.019159272852427</v>
      </c>
      <c r="G10" s="230">
        <f t="shared" ref="G10:G17" si="3">F10+2*$K$2*(SQRT(1+(1/$F$2)+(((A10-$A$9)-$J$2)^2)/$I$2))</f>
        <v>49.019518718073066</v>
      </c>
      <c r="H10" s="230">
        <f t="shared" ref="H10:H17" si="4">F10-2*$K$2*(SQRT(1+(1/$F$2)+(((A10-$A$9)-$J$2)^2)/$I$2))</f>
        <v>49.018799827631788</v>
      </c>
      <c r="I10" s="249">
        <f t="shared" ref="I10:I17" si="5">(F10-B10)/B10*1000000</f>
        <v>-5.665653556495486</v>
      </c>
      <c r="K10" s="155" t="s">
        <v>194</v>
      </c>
    </row>
    <row r="11" spans="1:14" x14ac:dyDescent="0.2">
      <c r="A11" s="220">
        <v>37207</v>
      </c>
      <c r="B11" s="225">
        <v>49.018915</v>
      </c>
      <c r="C11" s="226">
        <v>16</v>
      </c>
      <c r="D11" s="256">
        <f t="shared" si="2"/>
        <v>7.8430264E-4</v>
      </c>
      <c r="E11" s="229">
        <f t="shared" si="0"/>
        <v>741</v>
      </c>
      <c r="F11" s="248">
        <f t="shared" si="1"/>
        <v>49.019151644453061</v>
      </c>
      <c r="G11" s="230">
        <f t="shared" si="3"/>
        <v>49.019504365088913</v>
      </c>
      <c r="H11" s="230">
        <f t="shared" si="4"/>
        <v>49.018798923817208</v>
      </c>
      <c r="I11" s="249">
        <f t="shared" si="5"/>
        <v>4.8276150759521945</v>
      </c>
      <c r="K11" s="250">
        <f ca="1">(K7-INDIRECT("b"&amp;K12))/K7*1000000</f>
        <v>-2.3599739875300334</v>
      </c>
      <c r="L11" s="154" t="s">
        <v>141</v>
      </c>
    </row>
    <row r="12" spans="1:14" x14ac:dyDescent="0.2">
      <c r="A12" s="220">
        <v>37937</v>
      </c>
      <c r="B12" s="219">
        <v>49.019128000000002</v>
      </c>
      <c r="C12" s="226">
        <v>10</v>
      </c>
      <c r="D12" s="256">
        <f t="shared" si="2"/>
        <v>4.9019128000000003E-4</v>
      </c>
      <c r="E12" s="229">
        <f t="shared" si="0"/>
        <v>1471</v>
      </c>
      <c r="F12" s="248">
        <f t="shared" si="1"/>
        <v>49.019136512030407</v>
      </c>
      <c r="G12" s="230">
        <f t="shared" si="3"/>
        <v>49.019479643764853</v>
      </c>
      <c r="H12" s="230">
        <f t="shared" si="4"/>
        <v>49.018793380295961</v>
      </c>
      <c r="I12" s="249">
        <f t="shared" si="5"/>
        <v>0.17364712005836563</v>
      </c>
      <c r="K12" s="263">
        <f>MATCH(MAX(A9:A25),A9:A25,0)+8</f>
        <v>17</v>
      </c>
    </row>
    <row r="13" spans="1:14" x14ac:dyDescent="0.2">
      <c r="A13" s="220">
        <v>38670</v>
      </c>
      <c r="B13" s="219">
        <v>49.019176000000002</v>
      </c>
      <c r="C13" s="226">
        <v>10</v>
      </c>
      <c r="D13" s="256">
        <f t="shared" si="2"/>
        <v>4.9019176000000006E-4</v>
      </c>
      <c r="E13" s="229">
        <f t="shared" si="0"/>
        <v>2204</v>
      </c>
      <c r="F13" s="248">
        <f t="shared" si="1"/>
        <v>49.01912131741971</v>
      </c>
      <c r="G13" s="230">
        <f t="shared" si="3"/>
        <v>49.019460171976654</v>
      </c>
      <c r="H13" s="230">
        <f t="shared" si="4"/>
        <v>49.018782462862767</v>
      </c>
      <c r="I13" s="249">
        <f t="shared" si="5"/>
        <v>-1.1155344653569577</v>
      </c>
      <c r="K13" s="155" t="s">
        <v>203</v>
      </c>
    </row>
    <row r="14" spans="1:14" x14ac:dyDescent="0.2">
      <c r="A14" s="220">
        <v>39573</v>
      </c>
      <c r="B14" s="219">
        <v>49.018917999999999</v>
      </c>
      <c r="C14" s="226">
        <v>8</v>
      </c>
      <c r="D14" s="256">
        <f t="shared" si="2"/>
        <v>3.9215134400000001E-4</v>
      </c>
      <c r="E14" s="229">
        <f t="shared" si="0"/>
        <v>3107</v>
      </c>
      <c r="F14" s="248">
        <f t="shared" si="1"/>
        <v>49.019102598820183</v>
      </c>
      <c r="G14" s="230">
        <f t="shared" si="3"/>
        <v>49.019443832234671</v>
      </c>
      <c r="H14" s="230">
        <f t="shared" si="4"/>
        <v>49.018761365405695</v>
      </c>
      <c r="I14" s="249">
        <f t="shared" si="5"/>
        <v>3.7658689280661704</v>
      </c>
      <c r="K14" s="267">
        <f>(B2*365*L2/12)/C2</f>
        <v>-4.6304915694569944E-7</v>
      </c>
    </row>
    <row r="15" spans="1:14" x14ac:dyDescent="0.2">
      <c r="A15" s="220">
        <v>40305</v>
      </c>
      <c r="B15" s="219">
        <v>49.019061000000001</v>
      </c>
      <c r="C15" s="226">
        <v>8</v>
      </c>
      <c r="D15" s="256">
        <f t="shared" si="2"/>
        <v>3.92152488E-4</v>
      </c>
      <c r="E15" s="229">
        <f t="shared" si="0"/>
        <v>3839</v>
      </c>
      <c r="F15" s="248">
        <f t="shared" si="1"/>
        <v>49.019087424938832</v>
      </c>
      <c r="G15" s="230">
        <f t="shared" si="3"/>
        <v>49.019436672113244</v>
      </c>
      <c r="H15" s="230">
        <f t="shared" si="4"/>
        <v>49.018738177764419</v>
      </c>
      <c r="I15" s="249">
        <f t="shared" si="5"/>
        <v>0.5390747658522318</v>
      </c>
    </row>
    <row r="16" spans="1:14" x14ac:dyDescent="0.2">
      <c r="A16" s="220">
        <v>41039</v>
      </c>
      <c r="B16" s="219">
        <v>49.019103999999999</v>
      </c>
      <c r="C16" s="226">
        <v>8</v>
      </c>
      <c r="D16" s="256">
        <f t="shared" si="2"/>
        <v>3.9215283199999998E-4</v>
      </c>
      <c r="E16" s="229">
        <f t="shared" si="0"/>
        <v>4573</v>
      </c>
      <c r="F16" s="248">
        <f t="shared" si="1"/>
        <v>49.019072209598797</v>
      </c>
      <c r="G16" s="230">
        <f t="shared" si="3"/>
        <v>49.019434587696836</v>
      </c>
      <c r="H16" s="230">
        <f t="shared" si="4"/>
        <v>49.018709831500757</v>
      </c>
      <c r="I16" s="249">
        <f t="shared" si="5"/>
        <v>-0.64853085038352787</v>
      </c>
    </row>
    <row r="17" spans="1:9" x14ac:dyDescent="0.2">
      <c r="A17" s="220">
        <v>41772</v>
      </c>
      <c r="B17" s="219">
        <v>49.019150000000003</v>
      </c>
      <c r="C17" s="226">
        <v>8</v>
      </c>
      <c r="D17" s="256">
        <f t="shared" si="2"/>
        <v>3.9215320000000003E-4</v>
      </c>
      <c r="E17" s="229">
        <f t="shared" si="0"/>
        <v>5306</v>
      </c>
      <c r="F17" s="248">
        <f t="shared" si="1"/>
        <v>49.0190570149881</v>
      </c>
      <c r="G17" s="230">
        <f t="shared" si="3"/>
        <v>49.019437071167737</v>
      </c>
      <c r="H17" s="230">
        <f t="shared" si="4"/>
        <v>49.018676958808463</v>
      </c>
      <c r="I17" s="249">
        <f t="shared" si="5"/>
        <v>-1.8969119599907198</v>
      </c>
    </row>
    <row r="18" spans="1:9" x14ac:dyDescent="0.2">
      <c r="A18" s="220"/>
      <c r="B18" s="219"/>
      <c r="C18" s="226"/>
      <c r="D18" s="256"/>
      <c r="E18" s="229"/>
      <c r="F18" s="248"/>
      <c r="G18" s="230"/>
      <c r="H18" s="230"/>
      <c r="I18" s="249"/>
    </row>
    <row r="19" spans="1:9" x14ac:dyDescent="0.2">
      <c r="A19" s="220"/>
      <c r="B19" s="219"/>
      <c r="C19" s="226"/>
      <c r="D19" s="256"/>
      <c r="E19" s="229"/>
      <c r="F19" s="248"/>
      <c r="G19" s="230"/>
      <c r="H19" s="230"/>
      <c r="I19" s="249"/>
    </row>
    <row r="20" spans="1:9" x14ac:dyDescent="0.2">
      <c r="A20" s="220"/>
      <c r="B20" s="219"/>
      <c r="C20" s="226"/>
      <c r="D20" s="256"/>
      <c r="E20" s="229"/>
      <c r="F20" s="248"/>
      <c r="G20" s="230"/>
      <c r="H20" s="230"/>
      <c r="I20" s="249"/>
    </row>
    <row r="21" spans="1:9" x14ac:dyDescent="0.2">
      <c r="A21" s="220"/>
      <c r="B21" s="219"/>
      <c r="C21" s="226"/>
      <c r="D21" s="256"/>
      <c r="E21" s="229"/>
      <c r="F21" s="251"/>
      <c r="G21" s="230"/>
      <c r="H21" s="230"/>
      <c r="I21" s="249"/>
    </row>
    <row r="22" spans="1:9" x14ac:dyDescent="0.2">
      <c r="A22" s="220"/>
      <c r="B22" s="219"/>
      <c r="C22" s="226"/>
      <c r="D22" s="230"/>
      <c r="E22" s="229"/>
      <c r="F22" s="252"/>
      <c r="G22" s="230"/>
      <c r="H22" s="230"/>
      <c r="I22" s="249" t="str">
        <f t="shared" ref="I22:I26" si="6">IF(B22="","",1)</f>
        <v/>
      </c>
    </row>
    <row r="23" spans="1:9" x14ac:dyDescent="0.2">
      <c r="A23" s="220"/>
      <c r="B23" s="219"/>
      <c r="C23" s="226"/>
      <c r="D23" s="230"/>
      <c r="E23" s="229"/>
      <c r="F23" s="252"/>
      <c r="G23" s="230"/>
      <c r="H23" s="230"/>
      <c r="I23" s="249" t="str">
        <f t="shared" si="6"/>
        <v/>
      </c>
    </row>
    <row r="24" spans="1:9" x14ac:dyDescent="0.2">
      <c r="A24" s="220"/>
      <c r="B24" s="219"/>
      <c r="C24" s="223"/>
      <c r="D24" s="230"/>
      <c r="E24" s="229"/>
      <c r="F24" s="252"/>
      <c r="G24" s="230"/>
      <c r="H24" s="230"/>
      <c r="I24" s="249" t="str">
        <f t="shared" si="6"/>
        <v/>
      </c>
    </row>
    <row r="25" spans="1:9" x14ac:dyDescent="0.2">
      <c r="A25" s="220"/>
      <c r="B25" s="219"/>
      <c r="C25" s="223"/>
      <c r="D25" s="230"/>
      <c r="E25" s="229"/>
      <c r="F25" s="252"/>
      <c r="G25" s="230"/>
      <c r="H25" s="230"/>
      <c r="I25" s="249" t="str">
        <f t="shared" si="6"/>
        <v/>
      </c>
    </row>
    <row r="26" spans="1:9" ht="13.5" thickBot="1" x14ac:dyDescent="0.25">
      <c r="A26" s="221"/>
      <c r="B26" s="222"/>
      <c r="C26" s="224"/>
      <c r="D26" s="231"/>
      <c r="E26" s="253"/>
      <c r="F26" s="254"/>
      <c r="G26" s="231"/>
      <c r="H26" s="231"/>
      <c r="I26" s="255" t="str">
        <f t="shared" si="6"/>
        <v/>
      </c>
    </row>
    <row r="27" spans="1:9" x14ac:dyDescent="0.2">
      <c r="A27" s="160"/>
      <c r="B27" s="161"/>
      <c r="C27" s="161"/>
      <c r="E27" s="159"/>
      <c r="F27" s="197"/>
    </row>
    <row r="28" spans="1:9" x14ac:dyDescent="0.2">
      <c r="B28" s="161"/>
      <c r="C28" s="161"/>
      <c r="F28" s="159"/>
      <c r="G28" s="158"/>
    </row>
    <row r="29" spans="1:9" x14ac:dyDescent="0.2">
      <c r="A29" s="162"/>
      <c r="B29" s="161"/>
      <c r="C29" s="161"/>
      <c r="F29" s="159"/>
      <c r="G29" s="158"/>
    </row>
    <row r="30" spans="1:9" x14ac:dyDescent="0.2">
      <c r="A30" s="162"/>
      <c r="B30" s="161"/>
      <c r="C30" s="161"/>
      <c r="F30" s="159"/>
      <c r="G30" s="158"/>
    </row>
    <row r="31" spans="1:9" x14ac:dyDescent="0.2">
      <c r="A31" s="157"/>
      <c r="B31" s="160"/>
      <c r="C31" s="160"/>
      <c r="F31" s="159"/>
      <c r="G31" s="158"/>
    </row>
    <row r="32" spans="1:9" x14ac:dyDescent="0.2">
      <c r="B32" s="160"/>
      <c r="C32" s="160"/>
      <c r="F32" s="159"/>
      <c r="G32" s="158"/>
    </row>
    <row r="33" spans="1:7" x14ac:dyDescent="0.2">
      <c r="A33" s="157"/>
      <c r="F33" s="159"/>
      <c r="G33" s="158"/>
    </row>
    <row r="34" spans="1:7" x14ac:dyDescent="0.2">
      <c r="F34" s="159"/>
      <c r="G34" s="158"/>
    </row>
    <row r="35" spans="1:7" x14ac:dyDescent="0.2">
      <c r="A35" s="157"/>
      <c r="F35" s="163"/>
      <c r="G35" s="158"/>
    </row>
    <row r="36" spans="1:7" x14ac:dyDescent="0.2">
      <c r="B36" s="160"/>
      <c r="C36" s="160"/>
      <c r="D36" s="164"/>
      <c r="E36" s="160"/>
      <c r="F36" s="163"/>
      <c r="G36" s="158"/>
    </row>
    <row r="37" spans="1:7" x14ac:dyDescent="0.2">
      <c r="A37" s="157"/>
      <c r="F37" s="163"/>
      <c r="G37" s="158"/>
    </row>
    <row r="38" spans="1:7" x14ac:dyDescent="0.2">
      <c r="A38" s="157"/>
      <c r="F38" s="163"/>
      <c r="G38" s="158"/>
    </row>
    <row r="39" spans="1:7" x14ac:dyDescent="0.2">
      <c r="A39" s="157"/>
      <c r="F39" s="163"/>
      <c r="G39" s="158"/>
    </row>
    <row r="40" spans="1:7" x14ac:dyDescent="0.2">
      <c r="A40" s="157"/>
      <c r="F40" s="163"/>
      <c r="G40" s="158"/>
    </row>
    <row r="41" spans="1:7" x14ac:dyDescent="0.2">
      <c r="A41" s="157"/>
      <c r="F41" s="163"/>
      <c r="G41" s="158"/>
    </row>
    <row r="42" spans="1:7" x14ac:dyDescent="0.2">
      <c r="A42" s="157"/>
      <c r="F42" s="163"/>
      <c r="G42" s="158"/>
    </row>
    <row r="43" spans="1:7" x14ac:dyDescent="0.2">
      <c r="A43" s="157"/>
      <c r="F43" s="163"/>
      <c r="G43" s="158"/>
    </row>
    <row r="44" spans="1:7" x14ac:dyDescent="0.2">
      <c r="A44" s="157"/>
      <c r="F44" s="163"/>
      <c r="G44" s="158"/>
    </row>
    <row r="45" spans="1:7" x14ac:dyDescent="0.2">
      <c r="A45" s="157"/>
      <c r="F45" s="158"/>
      <c r="G45" s="158"/>
    </row>
    <row r="46" spans="1:7" x14ac:dyDescent="0.2">
      <c r="A46" s="157"/>
    </row>
    <row r="47" spans="1:7" x14ac:dyDescent="0.2">
      <c r="A47" s="157"/>
    </row>
    <row r="48" spans="1:7" x14ac:dyDescent="0.2">
      <c r="A48" s="157"/>
    </row>
    <row r="49" spans="1:1" x14ac:dyDescent="0.2">
      <c r="A49" s="157"/>
    </row>
    <row r="50" spans="1:1" x14ac:dyDescent="0.2">
      <c r="A50" s="157"/>
    </row>
  </sheetData>
  <sheetProtection password="C6CA" sheet="1" objects="1" scenarios="1"/>
  <pageMargins left="0.7" right="0.7" top="0.75" bottom="0.75" header="0.3" footer="0.3"/>
  <pageSetup scale="51" orientation="portrait" r:id="rId1"/>
  <headerFooter>
    <oddFooter>&amp;C&amp;F  &amp;A</oddFooter>
  </headerFooter>
  <colBreaks count="1" manualBreakCount="1">
    <brk id="8" max="5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50"/>
  <sheetViews>
    <sheetView zoomScaleNormal="100" workbookViewId="0">
      <selection activeCell="K25" sqref="K25"/>
    </sheetView>
  </sheetViews>
  <sheetFormatPr defaultRowHeight="12.75" x14ac:dyDescent="0.2"/>
  <cols>
    <col min="1" max="1" width="15.7109375" style="154" bestFit="1" customWidth="1"/>
    <col min="2" max="2" width="12.5703125" style="154" bestFit="1" customWidth="1"/>
    <col min="3" max="3" width="16.42578125" style="154" bestFit="1" customWidth="1"/>
    <col min="4" max="5" width="11.5703125" style="154" bestFit="1" customWidth="1"/>
    <col min="6" max="6" width="10.7109375" style="154" bestFit="1" customWidth="1"/>
    <col min="7" max="7" width="13.7109375" style="154" customWidth="1"/>
    <col min="8" max="8" width="14.85546875" style="154" customWidth="1"/>
    <col min="9" max="9" width="15.28515625" style="154" customWidth="1"/>
    <col min="10" max="10" width="15.5703125" style="154" customWidth="1"/>
    <col min="11" max="11" width="18.140625" style="154" customWidth="1"/>
    <col min="12" max="12" width="20.85546875" style="154" customWidth="1"/>
    <col min="13" max="13" width="12.5703125" style="154" customWidth="1"/>
    <col min="14" max="16384" width="9.140625" style="154"/>
  </cols>
  <sheetData>
    <row r="1" spans="1:14" ht="38.25" x14ac:dyDescent="0.25">
      <c r="A1" s="200" t="s">
        <v>140</v>
      </c>
      <c r="B1" s="201" t="s">
        <v>182</v>
      </c>
      <c r="C1" s="202" t="s">
        <v>177</v>
      </c>
      <c r="D1" s="200" t="s">
        <v>175</v>
      </c>
      <c r="E1" s="214" t="s">
        <v>174</v>
      </c>
      <c r="F1" s="203" t="s">
        <v>171</v>
      </c>
      <c r="G1" s="203" t="s">
        <v>169</v>
      </c>
      <c r="H1" s="204" t="s">
        <v>170</v>
      </c>
      <c r="I1" s="204" t="s">
        <v>172</v>
      </c>
      <c r="J1" s="204" t="s">
        <v>173</v>
      </c>
      <c r="K1" s="205" t="s">
        <v>176</v>
      </c>
      <c r="L1" s="205" t="s">
        <v>184</v>
      </c>
      <c r="M1"/>
      <c r="N1"/>
    </row>
    <row r="2" spans="1:14" ht="15.75" thickBot="1" x14ac:dyDescent="0.3">
      <c r="A2" s="233">
        <f>MAX(A9:A26)+L2/12*365</f>
        <v>42867</v>
      </c>
      <c r="B2" s="206">
        <f>SLOPE(B9:B26,A9:A26)</f>
        <v>-1.4679819874556251E-6</v>
      </c>
      <c r="C2" s="207">
        <f>INTERCEPT(B9:B26,A9:A26)</f>
        <v>200.04404375736843</v>
      </c>
      <c r="D2" s="215">
        <f ca="1">A2-NOW()</f>
        <v>-489.57001354167005</v>
      </c>
      <c r="E2" s="216">
        <f ca="1">NOW()-MAX(A9:A26)</f>
        <v>1584.5700135416701</v>
      </c>
      <c r="F2" s="208">
        <f>COUNT(E9:E25)</f>
        <v>9</v>
      </c>
      <c r="G2" s="208">
        <f>SUMSQ(E9:E25)</f>
        <v>41927268</v>
      </c>
      <c r="H2" s="208">
        <f>SUM(E9:E26)^2</f>
        <v>251412736</v>
      </c>
      <c r="I2" s="207">
        <f>G2-(H2/F2)</f>
        <v>13992519.555555556</v>
      </c>
      <c r="J2" s="208">
        <f>AVERAGE(E9:E26)</f>
        <v>1761.7777777777778</v>
      </c>
      <c r="K2" s="209">
        <f>STEYX(B9:B26,A9:A26)</f>
        <v>5.7897995583477534E-4</v>
      </c>
      <c r="L2" s="234">
        <f>Historical_Ae!L2</f>
        <v>36</v>
      </c>
      <c r="M2"/>
      <c r="N2"/>
    </row>
    <row r="3" spans="1:14" ht="15.75" thickBot="1" x14ac:dyDescent="0.3">
      <c r="A3" s="210"/>
      <c r="B3" s="211"/>
      <c r="C3" s="212" t="s">
        <v>181</v>
      </c>
      <c r="D3" s="235">
        <f ca="1">2*K2*(SQRT(1+(1/$F$2)+((((MAX(E9:E25)+D2+E2)-$J$2)^2/$I$2))))</f>
        <v>1.5658033627416949E-3</v>
      </c>
      <c r="E3" s="235">
        <f ca="1">2*K2*(SQRT(1+(1/$F$2)+((((MAX(E9:E25)+E2))-$J$2)^2/$I$2)))</f>
        <v>1.6649259362629576E-3</v>
      </c>
      <c r="F3" s="227" t="s">
        <v>29</v>
      </c>
      <c r="G3" s="213"/>
      <c r="H3" s="198"/>
      <c r="I3" s="198"/>
      <c r="J3" s="198"/>
      <c r="K3" s="199"/>
      <c r="L3" s="199"/>
      <c r="M3"/>
      <c r="N3"/>
    </row>
    <row r="4" spans="1:14" ht="15" x14ac:dyDescent="0.25">
      <c r="A4" s="170" t="s">
        <v>185</v>
      </c>
      <c r="B4" s="155"/>
      <c r="D4" s="236">
        <f ca="1">D3/C2*1000000</f>
        <v>7.8272930967184564</v>
      </c>
      <c r="E4" s="236">
        <f ca="1">E3/C2*1000000</f>
        <v>8.3227968450904282</v>
      </c>
      <c r="F4" s="235" t="s">
        <v>141</v>
      </c>
      <c r="G4" s="153"/>
    </row>
    <row r="5" spans="1:14" ht="13.5" thickBot="1" x14ac:dyDescent="0.25">
      <c r="G5" s="156"/>
    </row>
    <row r="6" spans="1:14" ht="15" x14ac:dyDescent="0.25">
      <c r="A6" s="237" t="s">
        <v>136</v>
      </c>
      <c r="B6" s="238" t="s">
        <v>186</v>
      </c>
      <c r="C6" s="238"/>
      <c r="D6" s="238" t="s">
        <v>137</v>
      </c>
      <c r="E6" s="239" t="s">
        <v>157</v>
      </c>
      <c r="F6" s="240" t="s">
        <v>178</v>
      </c>
      <c r="G6" s="240" t="s">
        <v>179</v>
      </c>
      <c r="H6" s="240" t="s">
        <v>180</v>
      </c>
      <c r="I6" s="241" t="s">
        <v>187</v>
      </c>
      <c r="K6" s="155" t="s">
        <v>196</v>
      </c>
    </row>
    <row r="7" spans="1:14" x14ac:dyDescent="0.2">
      <c r="A7" s="242"/>
      <c r="B7" s="243" t="s">
        <v>10</v>
      </c>
      <c r="C7" s="243"/>
      <c r="D7" s="243" t="s">
        <v>138</v>
      </c>
      <c r="E7" s="244"/>
      <c r="F7" s="235"/>
      <c r="G7" s="235"/>
      <c r="H7" s="235"/>
      <c r="I7" s="245"/>
      <c r="K7" s="232">
        <f>FORECAST(A2,F9:F26,A9:A26)</f>
        <v>199.98111577351219</v>
      </c>
      <c r="L7" s="154" t="s">
        <v>193</v>
      </c>
    </row>
    <row r="8" spans="1:14" x14ac:dyDescent="0.2">
      <c r="A8" s="246"/>
      <c r="B8" s="247" t="s">
        <v>139</v>
      </c>
      <c r="C8" s="247"/>
      <c r="D8" s="247" t="s">
        <v>139</v>
      </c>
      <c r="E8" s="244"/>
      <c r="F8" s="247" t="s">
        <v>139</v>
      </c>
      <c r="G8" s="247" t="s">
        <v>139</v>
      </c>
      <c r="H8" s="247" t="s">
        <v>139</v>
      </c>
      <c r="I8" s="261" t="s">
        <v>139</v>
      </c>
      <c r="K8" s="155" t="s">
        <v>190</v>
      </c>
    </row>
    <row r="9" spans="1:14" x14ac:dyDescent="0.2">
      <c r="A9" s="217">
        <v>37937</v>
      </c>
      <c r="B9" s="218">
        <v>199.989</v>
      </c>
      <c r="C9" s="226"/>
      <c r="D9" s="218">
        <v>3.0000000000000001E-3</v>
      </c>
      <c r="E9" s="229">
        <f t="shared" ref="E9:E17" si="0">A9-A$9</f>
        <v>0</v>
      </c>
      <c r="F9" s="258">
        <f t="shared" ref="F9:F17" si="1">A9*$B$2+$C$2</f>
        <v>199.98835292471031</v>
      </c>
      <c r="G9" s="230">
        <f>F9+2*$K$2*(SQRT(1+(1/$F$2)+(((A9-$A$9)-$J$2)^2)/$I$2))</f>
        <v>199.98968982139229</v>
      </c>
      <c r="H9" s="230">
        <f>F9-2*$K$2*(SQRT(1+(1/$F$2)+(((A9-$A$9)-$J$2)^2)/$I$2))</f>
        <v>199.98701602802834</v>
      </c>
      <c r="I9" s="262">
        <f>(F9-B9)</f>
        <v>-6.4707528969165651E-4</v>
      </c>
      <c r="K9" s="257">
        <f ca="1">D3</f>
        <v>1.5658033627416949E-3</v>
      </c>
      <c r="L9" s="154" t="s">
        <v>193</v>
      </c>
    </row>
    <row r="10" spans="1:14" x14ac:dyDescent="0.2">
      <c r="A10" s="217">
        <v>38296</v>
      </c>
      <c r="B10" s="218">
        <v>199.98759999999999</v>
      </c>
      <c r="C10" s="226"/>
      <c r="D10" s="218">
        <v>3.0000000000000001E-3</v>
      </c>
      <c r="E10" s="229">
        <f t="shared" si="0"/>
        <v>359</v>
      </c>
      <c r="F10" s="258">
        <f t="shared" si="1"/>
        <v>199.98782591917683</v>
      </c>
      <c r="G10" s="230">
        <f t="shared" ref="G10:G17" si="2">F10+2*$K$2*(SQRT(1+(1/$F$2)+(((A10-$A$9)-$J$2)^2)/$I$2))</f>
        <v>199.9891214596918</v>
      </c>
      <c r="H10" s="230">
        <f t="shared" ref="H10:H17" si="3">F10-2*$K$2*(SQRT(1+(1/$F$2)+(((A10-$A$9)-$J$2)^2)/$I$2))</f>
        <v>199.98653037866185</v>
      </c>
      <c r="I10" s="262">
        <f t="shared" ref="I10:I17" si="4">(F10-B10)</f>
        <v>2.2591917684167129E-4</v>
      </c>
      <c r="K10" s="155" t="s">
        <v>194</v>
      </c>
    </row>
    <row r="11" spans="1:14" x14ac:dyDescent="0.2">
      <c r="A11" s="217">
        <v>38670</v>
      </c>
      <c r="B11" s="218">
        <v>199.98740000000001</v>
      </c>
      <c r="C11" s="226"/>
      <c r="D11" s="218">
        <v>3.0000000000000001E-3</v>
      </c>
      <c r="E11" s="229">
        <f t="shared" si="0"/>
        <v>733</v>
      </c>
      <c r="F11" s="258">
        <f t="shared" si="1"/>
        <v>199.98727689391353</v>
      </c>
      <c r="G11" s="230">
        <f t="shared" si="2"/>
        <v>199.98853835312127</v>
      </c>
      <c r="H11" s="230">
        <f t="shared" si="3"/>
        <v>199.98601543470579</v>
      </c>
      <c r="I11" s="262">
        <f t="shared" si="4"/>
        <v>-1.2310608647680965E-4</v>
      </c>
      <c r="K11" s="257">
        <f ca="1">K7-INDIRECT("b"&amp;K12)</f>
        <v>-2.384226487805563E-3</v>
      </c>
      <c r="L11" s="154" t="s">
        <v>193</v>
      </c>
    </row>
    <row r="12" spans="1:14" x14ac:dyDescent="0.2">
      <c r="A12" s="217">
        <v>39030</v>
      </c>
      <c r="B12" s="218">
        <v>199.98699999999999</v>
      </c>
      <c r="C12" s="226"/>
      <c r="D12" s="218">
        <v>3.0000000000000001E-3</v>
      </c>
      <c r="E12" s="229">
        <f t="shared" si="0"/>
        <v>1093</v>
      </c>
      <c r="F12" s="258">
        <f t="shared" si="1"/>
        <v>199.98674842039804</v>
      </c>
      <c r="G12" s="230">
        <f t="shared" si="2"/>
        <v>199.98798644992129</v>
      </c>
      <c r="H12" s="230">
        <f t="shared" si="3"/>
        <v>199.98551039087479</v>
      </c>
      <c r="I12" s="262">
        <f t="shared" si="4"/>
        <v>-2.5157960195087981E-4</v>
      </c>
      <c r="K12" s="264">
        <f>MATCH(MAX(A9:A25),A9:A25,0)+8</f>
        <v>17</v>
      </c>
    </row>
    <row r="13" spans="1:14" x14ac:dyDescent="0.2">
      <c r="A13" s="217">
        <v>39573</v>
      </c>
      <c r="B13" s="218">
        <v>199.9853</v>
      </c>
      <c r="C13" s="226"/>
      <c r="D13" s="218">
        <v>3.0000000000000001E-3</v>
      </c>
      <c r="E13" s="229">
        <f t="shared" si="0"/>
        <v>1636</v>
      </c>
      <c r="F13" s="258">
        <f t="shared" si="1"/>
        <v>199.98595130617883</v>
      </c>
      <c r="G13" s="230">
        <f t="shared" si="2"/>
        <v>199.98717252394823</v>
      </c>
      <c r="H13" s="230">
        <f t="shared" si="3"/>
        <v>199.98473008840944</v>
      </c>
      <c r="I13" s="262">
        <f t="shared" si="4"/>
        <v>6.5130617883824016E-4</v>
      </c>
      <c r="K13" s="155" t="s">
        <v>204</v>
      </c>
    </row>
    <row r="14" spans="1:14" x14ac:dyDescent="0.2">
      <c r="A14" s="217">
        <v>40305</v>
      </c>
      <c r="B14" s="218">
        <v>199.98400000000001</v>
      </c>
      <c r="C14" s="226"/>
      <c r="D14" s="218">
        <v>3.0000000000000001E-3</v>
      </c>
      <c r="E14" s="229">
        <f t="shared" si="0"/>
        <v>2368</v>
      </c>
      <c r="F14" s="258">
        <f t="shared" si="1"/>
        <v>199.98487674336403</v>
      </c>
      <c r="G14" s="230">
        <f t="shared" si="2"/>
        <v>199.98611168224579</v>
      </c>
      <c r="H14" s="230">
        <f t="shared" si="3"/>
        <v>199.98364180448226</v>
      </c>
      <c r="I14" s="262">
        <f t="shared" si="4"/>
        <v>8.7674336401732944E-4</v>
      </c>
      <c r="K14" s="268">
        <f>(B2*365*L2/12)</f>
        <v>-1.6074402762639092E-3</v>
      </c>
    </row>
    <row r="15" spans="1:14" x14ac:dyDescent="0.2">
      <c r="A15" s="217">
        <v>40667</v>
      </c>
      <c r="B15" s="218">
        <v>199.98429999999999</v>
      </c>
      <c r="C15" s="226"/>
      <c r="D15" s="218">
        <v>3.0000000000000001E-3</v>
      </c>
      <c r="E15" s="229">
        <f t="shared" si="0"/>
        <v>2730</v>
      </c>
      <c r="F15" s="258">
        <f t="shared" si="1"/>
        <v>199.98434533388456</v>
      </c>
      <c r="G15" s="230">
        <f t="shared" si="2"/>
        <v>199.98560219145034</v>
      </c>
      <c r="H15" s="230">
        <f t="shared" si="3"/>
        <v>199.98308847631878</v>
      </c>
      <c r="I15" s="262">
        <f t="shared" si="4"/>
        <v>4.533388457161891E-5</v>
      </c>
    </row>
    <row r="16" spans="1:14" x14ac:dyDescent="0.2">
      <c r="A16" s="217">
        <v>41039</v>
      </c>
      <c r="B16" s="218">
        <v>199.9838</v>
      </c>
      <c r="C16" s="226"/>
      <c r="D16" s="218">
        <v>3.0000000000000001E-3</v>
      </c>
      <c r="E16" s="229">
        <f t="shared" si="0"/>
        <v>3102</v>
      </c>
      <c r="F16" s="258">
        <f t="shared" si="1"/>
        <v>199.98379924458524</v>
      </c>
      <c r="G16" s="230">
        <f t="shared" si="2"/>
        <v>199.98508842345538</v>
      </c>
      <c r="H16" s="230">
        <f t="shared" si="3"/>
        <v>199.9825100657151</v>
      </c>
      <c r="I16" s="262">
        <f t="shared" si="4"/>
        <v>-7.5541476007856545E-7</v>
      </c>
    </row>
    <row r="17" spans="1:12" x14ac:dyDescent="0.2">
      <c r="A17" s="217">
        <v>41772</v>
      </c>
      <c r="B17" s="218">
        <v>199.98349999999999</v>
      </c>
      <c r="C17" s="226"/>
      <c r="D17" s="218">
        <v>3.0000000000000001E-3</v>
      </c>
      <c r="E17" s="229">
        <f t="shared" si="0"/>
        <v>3835</v>
      </c>
      <c r="F17" s="258">
        <f t="shared" si="1"/>
        <v>199.98272321378843</v>
      </c>
      <c r="G17" s="230">
        <f t="shared" si="2"/>
        <v>199.98410225271027</v>
      </c>
      <c r="H17" s="230">
        <f t="shared" si="3"/>
        <v>199.98134417486659</v>
      </c>
      <c r="I17" s="262">
        <f t="shared" si="4"/>
        <v>-7.7678621155996552E-4</v>
      </c>
    </row>
    <row r="18" spans="1:12" x14ac:dyDescent="0.2">
      <c r="A18" s="217"/>
      <c r="B18" s="218"/>
      <c r="C18" s="226"/>
      <c r="D18" s="218"/>
      <c r="E18" s="229"/>
      <c r="F18" s="258"/>
      <c r="G18" s="230"/>
      <c r="H18" s="230"/>
      <c r="I18" s="262"/>
    </row>
    <row r="19" spans="1:12" x14ac:dyDescent="0.2">
      <c r="A19" s="217"/>
      <c r="B19" s="218"/>
      <c r="C19" s="226"/>
      <c r="D19" s="218"/>
      <c r="E19" s="229"/>
      <c r="F19" s="258"/>
      <c r="G19" s="230"/>
      <c r="H19" s="230"/>
      <c r="I19" s="262"/>
    </row>
    <row r="20" spans="1:12" x14ac:dyDescent="0.2">
      <c r="A20" s="217"/>
      <c r="B20" s="218"/>
      <c r="C20" s="226"/>
      <c r="D20" s="218"/>
      <c r="E20" s="229"/>
      <c r="F20" s="258"/>
      <c r="G20" s="230"/>
      <c r="H20" s="230"/>
      <c r="I20" s="262"/>
    </row>
    <row r="21" spans="1:12" x14ac:dyDescent="0.2">
      <c r="A21" s="220"/>
      <c r="B21" s="219"/>
      <c r="C21" s="226"/>
      <c r="D21" s="226"/>
      <c r="E21" s="229"/>
      <c r="F21" s="259"/>
      <c r="G21" s="230"/>
      <c r="H21" s="230"/>
      <c r="I21" s="249"/>
      <c r="L21" s="160"/>
    </row>
    <row r="22" spans="1:12" x14ac:dyDescent="0.2">
      <c r="A22" s="220"/>
      <c r="B22" s="219"/>
      <c r="C22" s="226"/>
      <c r="D22" s="223"/>
      <c r="E22" s="229"/>
      <c r="F22" s="260"/>
      <c r="G22" s="230"/>
      <c r="H22" s="230"/>
      <c r="I22" s="249" t="str">
        <f t="shared" ref="I22:I26" si="5">IF(B22="","",1)</f>
        <v/>
      </c>
    </row>
    <row r="23" spans="1:12" x14ac:dyDescent="0.2">
      <c r="A23" s="220"/>
      <c r="B23" s="219"/>
      <c r="C23" s="226"/>
      <c r="D23" s="223"/>
      <c r="E23" s="229"/>
      <c r="F23" s="260"/>
      <c r="G23" s="230"/>
      <c r="H23" s="230"/>
      <c r="I23" s="249" t="str">
        <f t="shared" si="5"/>
        <v/>
      </c>
    </row>
    <row r="24" spans="1:12" x14ac:dyDescent="0.2">
      <c r="A24" s="220"/>
      <c r="B24" s="219"/>
      <c r="C24" s="223"/>
      <c r="D24" s="223"/>
      <c r="E24" s="229"/>
      <c r="F24" s="260"/>
      <c r="G24" s="230"/>
      <c r="H24" s="230"/>
      <c r="I24" s="249" t="str">
        <f t="shared" si="5"/>
        <v/>
      </c>
    </row>
    <row r="25" spans="1:12" x14ac:dyDescent="0.2">
      <c r="A25" s="220"/>
      <c r="B25" s="219"/>
      <c r="C25" s="223"/>
      <c r="D25" s="223"/>
      <c r="E25" s="229"/>
      <c r="F25" s="260"/>
      <c r="G25" s="230"/>
      <c r="H25" s="230"/>
      <c r="I25" s="249" t="str">
        <f t="shared" si="5"/>
        <v/>
      </c>
    </row>
    <row r="26" spans="1:12" ht="13.5" thickBot="1" x14ac:dyDescent="0.25">
      <c r="A26" s="221"/>
      <c r="B26" s="222"/>
      <c r="C26" s="224"/>
      <c r="D26" s="224"/>
      <c r="E26" s="253"/>
      <c r="F26" s="254"/>
      <c r="G26" s="231"/>
      <c r="H26" s="231"/>
      <c r="I26" s="255" t="str">
        <f t="shared" si="5"/>
        <v/>
      </c>
    </row>
    <row r="27" spans="1:12" x14ac:dyDescent="0.2">
      <c r="A27" s="160"/>
      <c r="B27" s="161"/>
      <c r="C27" s="161"/>
      <c r="E27" s="159"/>
      <c r="F27" s="197"/>
    </row>
    <row r="28" spans="1:12" x14ac:dyDescent="0.2">
      <c r="B28" s="161"/>
      <c r="C28" s="161"/>
      <c r="F28" s="159"/>
      <c r="G28" s="158"/>
    </row>
    <row r="29" spans="1:12" x14ac:dyDescent="0.2">
      <c r="A29" s="162"/>
      <c r="B29" s="161"/>
      <c r="C29" s="161"/>
      <c r="F29" s="159"/>
      <c r="G29" s="158"/>
    </row>
    <row r="30" spans="1:12" x14ac:dyDescent="0.2">
      <c r="A30" s="162"/>
      <c r="B30" s="161"/>
      <c r="C30" s="161"/>
      <c r="F30" s="159"/>
      <c r="G30" s="158"/>
    </row>
    <row r="31" spans="1:12" x14ac:dyDescent="0.2">
      <c r="A31" s="157"/>
      <c r="B31" s="160"/>
      <c r="C31" s="160"/>
      <c r="F31" s="159"/>
      <c r="G31" s="158"/>
    </row>
    <row r="32" spans="1:12" x14ac:dyDescent="0.2">
      <c r="B32" s="160"/>
      <c r="C32" s="160"/>
      <c r="F32" s="159"/>
      <c r="G32" s="158"/>
    </row>
    <row r="33" spans="1:7" x14ac:dyDescent="0.2">
      <c r="A33" s="157"/>
      <c r="F33" s="159"/>
      <c r="G33" s="158"/>
    </row>
    <row r="34" spans="1:7" x14ac:dyDescent="0.2">
      <c r="F34" s="159"/>
      <c r="G34" s="158"/>
    </row>
    <row r="35" spans="1:7" x14ac:dyDescent="0.2">
      <c r="A35" s="157"/>
      <c r="F35" s="163"/>
      <c r="G35" s="158"/>
    </row>
    <row r="36" spans="1:7" x14ac:dyDescent="0.2">
      <c r="B36" s="160"/>
      <c r="C36" s="160"/>
      <c r="D36" s="164"/>
      <c r="E36" s="160"/>
      <c r="F36" s="163"/>
      <c r="G36" s="158"/>
    </row>
    <row r="37" spans="1:7" x14ac:dyDescent="0.2">
      <c r="A37" s="157"/>
      <c r="F37" s="163"/>
      <c r="G37" s="158"/>
    </row>
    <row r="38" spans="1:7" x14ac:dyDescent="0.2">
      <c r="A38" s="157"/>
      <c r="F38" s="163"/>
      <c r="G38" s="158"/>
    </row>
    <row r="39" spans="1:7" x14ac:dyDescent="0.2">
      <c r="A39" s="157"/>
      <c r="F39" s="163"/>
      <c r="G39" s="158"/>
    </row>
    <row r="40" spans="1:7" x14ac:dyDescent="0.2">
      <c r="A40" s="157"/>
      <c r="F40" s="163"/>
      <c r="G40" s="158"/>
    </row>
    <row r="41" spans="1:7" x14ac:dyDescent="0.2">
      <c r="A41" s="157"/>
      <c r="F41" s="163"/>
      <c r="G41" s="158"/>
    </row>
    <row r="42" spans="1:7" x14ac:dyDescent="0.2">
      <c r="A42" s="157"/>
      <c r="F42" s="163"/>
      <c r="G42" s="158"/>
    </row>
    <row r="43" spans="1:7" x14ac:dyDescent="0.2">
      <c r="A43" s="157"/>
      <c r="F43" s="163"/>
      <c r="G43" s="158"/>
    </row>
    <row r="44" spans="1:7" x14ac:dyDescent="0.2">
      <c r="A44" s="157"/>
      <c r="F44" s="163"/>
      <c r="G44" s="158"/>
    </row>
    <row r="45" spans="1:7" x14ac:dyDescent="0.2">
      <c r="A45" s="157"/>
      <c r="F45" s="158"/>
      <c r="G45" s="158"/>
    </row>
    <row r="46" spans="1:7" x14ac:dyDescent="0.2">
      <c r="A46" s="157"/>
    </row>
    <row r="47" spans="1:7" x14ac:dyDescent="0.2">
      <c r="A47" s="157"/>
    </row>
    <row r="48" spans="1:7" x14ac:dyDescent="0.2">
      <c r="A48" s="157"/>
    </row>
    <row r="49" spans="1:1" x14ac:dyDescent="0.2">
      <c r="A49" s="157"/>
    </row>
    <row r="50" spans="1:1" x14ac:dyDescent="0.2">
      <c r="A50" s="157"/>
    </row>
  </sheetData>
  <sheetProtection password="C6CA" sheet="1" objects="1" scenarios="1"/>
  <pageMargins left="0.7" right="0.7" top="0.75" bottom="0.75" header="0.3" footer="0.3"/>
  <pageSetup scale="51" orientation="portrait" r:id="rId1"/>
  <headerFooter>
    <oddFooter>&amp;C&amp;F  &amp;A</oddFooter>
  </headerFooter>
  <colBreaks count="1" manualBreakCount="1">
    <brk id="8" max="5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50"/>
  <sheetViews>
    <sheetView workbookViewId="0">
      <selection activeCell="A7" sqref="A7"/>
    </sheetView>
  </sheetViews>
  <sheetFormatPr defaultRowHeight="15" x14ac:dyDescent="0.25"/>
  <cols>
    <col min="1" max="1" width="24.28515625" customWidth="1"/>
    <col min="2" max="2" width="15.7109375" customWidth="1"/>
    <col min="3" max="3" width="134.140625" customWidth="1"/>
    <col min="4" max="4" width="16.5703125" customWidth="1"/>
    <col min="5" max="5" width="15" customWidth="1"/>
  </cols>
  <sheetData>
    <row r="1" spans="1:5" ht="24" thickBot="1" x14ac:dyDescent="0.4">
      <c r="A1" s="308" t="s">
        <v>155</v>
      </c>
      <c r="B1" s="309"/>
      <c r="C1" s="309"/>
      <c r="D1" s="309"/>
      <c r="E1" s="310"/>
    </row>
    <row r="2" spans="1:5" ht="23.25" x14ac:dyDescent="0.35">
      <c r="A2" s="171"/>
      <c r="B2" s="172"/>
      <c r="C2" s="172"/>
      <c r="D2" s="172"/>
      <c r="E2" s="172"/>
    </row>
    <row r="3" spans="1:5" ht="18.75" x14ac:dyDescent="0.3">
      <c r="A3" s="173" t="s">
        <v>148</v>
      </c>
      <c r="B3" s="174" t="s">
        <v>136</v>
      </c>
      <c r="C3" s="175" t="s">
        <v>149</v>
      </c>
      <c r="D3" s="174" t="s">
        <v>150</v>
      </c>
      <c r="E3" s="174" t="s">
        <v>151</v>
      </c>
    </row>
    <row r="4" spans="1:5" ht="15.75" x14ac:dyDescent="0.25">
      <c r="A4" s="176">
        <v>1</v>
      </c>
      <c r="B4" s="177">
        <v>20151006</v>
      </c>
      <c r="C4" s="178" t="s">
        <v>152</v>
      </c>
      <c r="D4" s="179" t="s">
        <v>156</v>
      </c>
      <c r="E4" s="179" t="s">
        <v>153</v>
      </c>
    </row>
    <row r="5" spans="1:5" ht="15.75" x14ac:dyDescent="0.25">
      <c r="A5" s="180">
        <v>2</v>
      </c>
      <c r="B5" s="181">
        <v>20151118</v>
      </c>
      <c r="C5" s="228" t="s">
        <v>183</v>
      </c>
      <c r="D5" s="181" t="s">
        <v>156</v>
      </c>
      <c r="E5" s="181" t="s">
        <v>153</v>
      </c>
    </row>
    <row r="6" spans="1:5" ht="15.75" x14ac:dyDescent="0.25">
      <c r="A6" s="176">
        <v>3</v>
      </c>
      <c r="B6" s="177">
        <v>20170302</v>
      </c>
      <c r="C6" s="178" t="s">
        <v>201</v>
      </c>
      <c r="D6" s="179" t="s">
        <v>156</v>
      </c>
      <c r="E6" s="179" t="s">
        <v>153</v>
      </c>
    </row>
    <row r="7" spans="1:5" ht="15.75" x14ac:dyDescent="0.25">
      <c r="A7" s="180">
        <v>4</v>
      </c>
      <c r="B7" s="181">
        <v>20170303</v>
      </c>
      <c r="C7" s="228" t="s">
        <v>205</v>
      </c>
      <c r="D7" s="181" t="s">
        <v>156</v>
      </c>
      <c r="E7" s="181" t="s">
        <v>153</v>
      </c>
    </row>
    <row r="8" spans="1:5" ht="15.75" x14ac:dyDescent="0.25">
      <c r="A8" s="176"/>
      <c r="B8" s="177"/>
      <c r="C8" s="178"/>
      <c r="D8" s="179"/>
      <c r="E8" s="179"/>
    </row>
    <row r="9" spans="1:5" ht="15.75" x14ac:dyDescent="0.25">
      <c r="A9" s="180"/>
      <c r="B9" s="181"/>
      <c r="C9" s="228"/>
      <c r="D9" s="181"/>
      <c r="E9" s="181"/>
    </row>
    <row r="10" spans="1:5" ht="15.75" x14ac:dyDescent="0.25">
      <c r="A10" s="176"/>
      <c r="B10" s="177"/>
      <c r="C10" s="178"/>
      <c r="D10" s="179"/>
      <c r="E10" s="179"/>
    </row>
    <row r="11" spans="1:5" ht="15.75" x14ac:dyDescent="0.25">
      <c r="A11" s="180"/>
      <c r="B11" s="181"/>
      <c r="C11" s="228"/>
      <c r="D11" s="181"/>
      <c r="E11" s="181"/>
    </row>
    <row r="12" spans="1:5" ht="15.75" x14ac:dyDescent="0.25">
      <c r="A12" s="176"/>
      <c r="B12" s="177"/>
      <c r="C12" s="179"/>
      <c r="D12" s="179"/>
      <c r="E12" s="179"/>
    </row>
    <row r="13" spans="1:5" ht="15.75" x14ac:dyDescent="0.25">
      <c r="A13" s="176"/>
      <c r="B13" s="179"/>
      <c r="C13" s="179"/>
      <c r="D13" s="179"/>
      <c r="E13" s="179"/>
    </row>
    <row r="14" spans="1:5" ht="15.75" x14ac:dyDescent="0.25">
      <c r="A14" s="176"/>
      <c r="B14" s="179"/>
      <c r="C14" s="179" t="s">
        <v>154</v>
      </c>
      <c r="D14" s="179"/>
      <c r="E14" s="179"/>
    </row>
    <row r="15" spans="1:5" ht="15.75" x14ac:dyDescent="0.25">
      <c r="A15" s="176"/>
      <c r="B15" s="179"/>
      <c r="C15" s="179"/>
      <c r="D15" s="179"/>
      <c r="E15" s="179"/>
    </row>
    <row r="16" spans="1:5" ht="15.75" x14ac:dyDescent="0.25">
      <c r="A16" s="176"/>
      <c r="B16" s="179"/>
      <c r="C16" s="179"/>
      <c r="D16" s="179"/>
      <c r="E16" s="179"/>
    </row>
    <row r="17" spans="1:5" ht="15.75" x14ac:dyDescent="0.25">
      <c r="A17" s="176"/>
      <c r="B17" s="179"/>
      <c r="C17" s="179"/>
      <c r="D17" s="179"/>
      <c r="E17" s="179"/>
    </row>
    <row r="18" spans="1:5" ht="15.75" x14ac:dyDescent="0.25">
      <c r="A18" s="176"/>
      <c r="B18" s="179"/>
      <c r="C18" s="179"/>
      <c r="D18" s="179"/>
      <c r="E18" s="179"/>
    </row>
    <row r="19" spans="1:5" ht="15.75" x14ac:dyDescent="0.25">
      <c r="A19" s="176"/>
      <c r="B19" s="179"/>
      <c r="C19" s="179"/>
      <c r="D19" s="179"/>
      <c r="E19" s="179"/>
    </row>
    <row r="20" spans="1:5" ht="15.75" x14ac:dyDescent="0.25">
      <c r="A20" s="176"/>
      <c r="B20" s="182"/>
      <c r="C20" s="179"/>
      <c r="D20" s="179"/>
      <c r="E20" s="179"/>
    </row>
    <row r="21" spans="1:5" ht="15.75" x14ac:dyDescent="0.25">
      <c r="A21" s="176"/>
      <c r="B21" s="179"/>
      <c r="C21" s="179"/>
      <c r="D21" s="179"/>
      <c r="E21" s="179"/>
    </row>
    <row r="22" spans="1:5" ht="15.75" x14ac:dyDescent="0.25">
      <c r="A22" s="176"/>
      <c r="B22" s="179"/>
      <c r="C22" s="179"/>
      <c r="D22" s="179"/>
      <c r="E22" s="179"/>
    </row>
    <row r="23" spans="1:5" ht="15.75" x14ac:dyDescent="0.25">
      <c r="A23" s="176"/>
      <c r="B23" s="179"/>
      <c r="C23" s="179"/>
      <c r="D23" s="179"/>
      <c r="E23" s="179"/>
    </row>
    <row r="24" spans="1:5" ht="15.75" x14ac:dyDescent="0.25">
      <c r="A24" s="176"/>
      <c r="B24" s="179"/>
      <c r="C24" s="179"/>
      <c r="D24" s="179"/>
      <c r="E24" s="179"/>
    </row>
    <row r="25" spans="1:5" ht="15.75" x14ac:dyDescent="0.25">
      <c r="A25" s="176"/>
      <c r="B25" s="179"/>
      <c r="C25" s="179"/>
      <c r="D25" s="179"/>
      <c r="E25" s="179"/>
    </row>
    <row r="26" spans="1:5" ht="15.75" x14ac:dyDescent="0.25">
      <c r="A26" s="176"/>
      <c r="B26" s="179"/>
      <c r="C26" s="179"/>
      <c r="D26" s="179"/>
      <c r="E26" s="179"/>
    </row>
    <row r="27" spans="1:5" ht="15.75" x14ac:dyDescent="0.25">
      <c r="A27" s="176"/>
      <c r="B27" s="179"/>
      <c r="C27" s="179"/>
      <c r="D27" s="179"/>
      <c r="E27" s="179"/>
    </row>
    <row r="28" spans="1:5" ht="15.75" x14ac:dyDescent="0.25">
      <c r="A28" s="176"/>
      <c r="B28" s="179"/>
      <c r="C28" s="179"/>
      <c r="D28" s="179"/>
      <c r="E28" s="179"/>
    </row>
    <row r="29" spans="1:5" ht="15.75" x14ac:dyDescent="0.25">
      <c r="A29" s="176"/>
      <c r="B29" s="179"/>
      <c r="C29" s="179"/>
      <c r="D29" s="179"/>
      <c r="E29" s="179"/>
    </row>
    <row r="30" spans="1:5" ht="15.75" x14ac:dyDescent="0.25">
      <c r="A30" s="176"/>
      <c r="B30" s="179"/>
      <c r="C30" s="179"/>
      <c r="D30" s="179"/>
      <c r="E30" s="179"/>
    </row>
    <row r="31" spans="1:5" ht="15.75" x14ac:dyDescent="0.25">
      <c r="A31" s="176"/>
      <c r="B31" s="179"/>
      <c r="C31" s="179"/>
      <c r="D31" s="179"/>
      <c r="E31" s="179"/>
    </row>
    <row r="32" spans="1:5" ht="15.75" x14ac:dyDescent="0.25">
      <c r="A32" s="176"/>
      <c r="B32" s="179"/>
      <c r="C32" s="179"/>
      <c r="D32" s="179"/>
      <c r="E32" s="179"/>
    </row>
    <row r="33" spans="1:5" ht="15.75" x14ac:dyDescent="0.25">
      <c r="A33" s="176"/>
      <c r="B33" s="179"/>
      <c r="C33" s="179"/>
      <c r="D33" s="179"/>
      <c r="E33" s="179"/>
    </row>
    <row r="34" spans="1:5" ht="15.75" x14ac:dyDescent="0.25">
      <c r="A34" s="176"/>
      <c r="B34" s="179"/>
      <c r="C34" s="179"/>
      <c r="D34" s="179"/>
      <c r="E34" s="183"/>
    </row>
    <row r="35" spans="1:5" ht="15.75" x14ac:dyDescent="0.25">
      <c r="A35" s="176"/>
      <c r="B35" s="179"/>
      <c r="C35" s="179"/>
      <c r="D35" s="179"/>
      <c r="E35" s="183"/>
    </row>
    <row r="36" spans="1:5" ht="15.75" x14ac:dyDescent="0.25">
      <c r="A36" s="176"/>
      <c r="B36" s="179"/>
      <c r="C36" s="179"/>
      <c r="D36" s="179"/>
      <c r="E36" s="183"/>
    </row>
    <row r="37" spans="1:5" ht="15.75" x14ac:dyDescent="0.25">
      <c r="A37" s="176"/>
      <c r="B37" s="179"/>
      <c r="C37" s="179"/>
      <c r="D37" s="179"/>
      <c r="E37" s="183"/>
    </row>
    <row r="38" spans="1:5" ht="15.75" x14ac:dyDescent="0.25">
      <c r="A38" s="176"/>
      <c r="B38" s="179"/>
      <c r="C38" s="179"/>
      <c r="D38" s="179"/>
      <c r="E38" s="183"/>
    </row>
    <row r="39" spans="1:5" ht="15.75" x14ac:dyDescent="0.25">
      <c r="A39" s="176"/>
      <c r="B39" s="179"/>
      <c r="C39" s="179"/>
      <c r="D39" s="179"/>
      <c r="E39" s="183"/>
    </row>
    <row r="40" spans="1:5" ht="15.75" x14ac:dyDescent="0.25">
      <c r="A40" s="176"/>
      <c r="B40" s="179"/>
      <c r="C40" s="179"/>
      <c r="D40" s="179"/>
      <c r="E40" s="183"/>
    </row>
    <row r="41" spans="1:5" ht="15.75" x14ac:dyDescent="0.25">
      <c r="A41" s="176"/>
      <c r="B41" s="179"/>
      <c r="C41" s="179"/>
      <c r="D41" s="179"/>
      <c r="E41" s="183"/>
    </row>
    <row r="42" spans="1:5" ht="15.75" x14ac:dyDescent="0.25">
      <c r="A42" s="176"/>
      <c r="B42" s="179"/>
      <c r="C42" s="179"/>
      <c r="D42" s="179"/>
      <c r="E42" s="183"/>
    </row>
    <row r="43" spans="1:5" ht="15.75" x14ac:dyDescent="0.25">
      <c r="A43" s="176"/>
      <c r="B43" s="179"/>
      <c r="C43" s="179"/>
      <c r="D43" s="179"/>
      <c r="E43" s="183"/>
    </row>
    <row r="44" spans="1:5" ht="15.75" x14ac:dyDescent="0.25">
      <c r="A44" s="176"/>
      <c r="B44" s="179"/>
      <c r="C44" s="179"/>
      <c r="D44" s="179"/>
      <c r="E44" s="183"/>
    </row>
    <row r="45" spans="1:5" ht="15.75" x14ac:dyDescent="0.25">
      <c r="A45" s="176"/>
      <c r="B45" s="179"/>
      <c r="C45" s="179"/>
      <c r="D45" s="179"/>
      <c r="E45" s="183"/>
    </row>
    <row r="46" spans="1:5" ht="15.75" x14ac:dyDescent="0.25">
      <c r="A46" s="176"/>
      <c r="B46" s="179"/>
      <c r="C46" s="179"/>
      <c r="D46" s="179"/>
      <c r="E46" s="183"/>
    </row>
    <row r="47" spans="1:5" ht="15.75" x14ac:dyDescent="0.25">
      <c r="A47" s="176"/>
      <c r="B47" s="179"/>
      <c r="C47" s="179"/>
      <c r="D47" s="179"/>
      <c r="E47" s="183"/>
    </row>
    <row r="48" spans="1:5" ht="15.75" x14ac:dyDescent="0.25">
      <c r="A48" s="176"/>
      <c r="B48" s="179"/>
      <c r="C48" s="179"/>
      <c r="D48" s="179"/>
      <c r="E48" s="183"/>
    </row>
    <row r="49" spans="1:5" ht="15.75" x14ac:dyDescent="0.25">
      <c r="A49" s="176"/>
      <c r="B49" s="179"/>
      <c r="C49" s="179"/>
      <c r="D49" s="179"/>
      <c r="E49" s="183"/>
    </row>
    <row r="50" spans="1:5" ht="16.5" thickBot="1" x14ac:dyDescent="0.3">
      <c r="A50" s="184"/>
      <c r="B50" s="185"/>
      <c r="C50" s="185"/>
      <c r="D50" s="185"/>
      <c r="E50" s="185"/>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Unccalc1</vt:lpstr>
      <vt:lpstr>Unccalc2</vt:lpstr>
      <vt:lpstr>Unccalc3</vt:lpstr>
      <vt:lpstr>Historical_Ae</vt:lpstr>
      <vt:lpstr>Historical_mass</vt:lpstr>
      <vt:lpstr>Revision</vt:lpstr>
    </vt:vector>
  </TitlesOfParts>
  <Company>DanaherTM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Bair</dc:creator>
  <cp:lastModifiedBy>Mike Bair</cp:lastModifiedBy>
  <cp:lastPrinted>2017-03-02T23:28:18Z</cp:lastPrinted>
  <dcterms:created xsi:type="dcterms:W3CDTF">2015-09-30T16:36:20Z</dcterms:created>
  <dcterms:modified xsi:type="dcterms:W3CDTF">2018-09-13T20:45:04Z</dcterms:modified>
</cp:coreProperties>
</file>