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defaultThemeVersion="124226"/>
  <mc:AlternateContent xmlns:mc="http://schemas.openxmlformats.org/markup-compatibility/2006">
    <mc:Choice Requires="x15">
      <x15ac:absPath xmlns:x15ac="http://schemas.microsoft.com/office/spreadsheetml/2010/11/ac" url="C:\Users\kclark\Documents\000 Pressure Equip\24xx PG and related\2465\"/>
    </mc:Choice>
  </mc:AlternateContent>
  <bookViews>
    <workbookView xWindow="3870" yWindow="90" windowWidth="24240" windowHeight="13680"/>
  </bookViews>
  <sheets>
    <sheet name="Unccalc1" sheetId="1" r:id="rId1"/>
    <sheet name="Unccalc2" sheetId="6" state="hidden" r:id="rId2"/>
    <sheet name="Unccalc3" sheetId="8" state="hidden" r:id="rId3"/>
    <sheet name="Historical_Ae" sheetId="5" r:id="rId4"/>
    <sheet name="Historical_PCmass" sheetId="10" r:id="rId5"/>
    <sheet name="Revision" sheetId="9" r:id="rId6"/>
  </sheets>
  <externalReferences>
    <externalReference r:id="rId7"/>
  </externalReferences>
  <definedNames>
    <definedName name="area116">[1]GASCHAIN!$K$2</definedName>
    <definedName name="area335">[1]GASCHAIN!$M$5</definedName>
    <definedName name="_xlnm.Print_Area" localSheetId="3">Historical_Ae!$A$1:$W$50</definedName>
    <definedName name="_xlnm.Print_Area" localSheetId="4">Historical_PCmass!$A$1:$W$50</definedName>
    <definedName name="RAT450_407" localSheetId="4">Historical_PCmass!#REF!</definedName>
    <definedName name="RAT450_407">Historical_Ae!#REF!</definedName>
  </definedNames>
  <calcPr calcId="171027"/>
</workbook>
</file>

<file path=xl/calcChain.xml><?xml version="1.0" encoding="utf-8"?>
<calcChain xmlns="http://schemas.openxmlformats.org/spreadsheetml/2006/main">
  <c r="M2" i="1" l="1"/>
  <c r="C18" i="1" l="1"/>
  <c r="L2" i="1" l="1"/>
  <c r="D14" i="5"/>
  <c r="E14" i="5"/>
  <c r="D15" i="5"/>
  <c r="E15" i="5"/>
  <c r="D16" i="5"/>
  <c r="E16" i="5"/>
  <c r="D17" i="5"/>
  <c r="E17" i="5"/>
  <c r="E12" i="10"/>
  <c r="E13" i="10"/>
  <c r="E14" i="10"/>
  <c r="E15" i="10"/>
  <c r="E16" i="10"/>
  <c r="E17" i="10"/>
  <c r="E18" i="10"/>
  <c r="E19" i="10"/>
  <c r="E20" i="10"/>
  <c r="E11" i="10"/>
  <c r="E10" i="10"/>
  <c r="E9" i="10"/>
  <c r="K2" i="10"/>
  <c r="E2" i="10"/>
  <c r="D2" i="10"/>
  <c r="C2" i="10"/>
  <c r="B2" i="10"/>
  <c r="F11" i="10" s="1"/>
  <c r="D10" i="5"/>
  <c r="D11" i="5"/>
  <c r="D12" i="5"/>
  <c r="D13" i="5"/>
  <c r="D9" i="5"/>
  <c r="B2" i="5"/>
  <c r="C2" i="5"/>
  <c r="K2" i="5"/>
  <c r="D2" i="5"/>
  <c r="E2" i="5"/>
  <c r="F10" i="5" l="1"/>
  <c r="F18" i="10"/>
  <c r="F14" i="10"/>
  <c r="F10" i="10"/>
  <c r="F17" i="5"/>
  <c r="F17" i="10"/>
  <c r="F13" i="10"/>
  <c r="F9" i="10"/>
  <c r="F14" i="5"/>
  <c r="F20" i="10"/>
  <c r="F16" i="10"/>
  <c r="F12" i="10"/>
  <c r="F19" i="10"/>
  <c r="F15" i="10"/>
  <c r="F15" i="5"/>
  <c r="F16" i="5"/>
  <c r="F12" i="5"/>
  <c r="F11" i="5"/>
  <c r="H2" i="10"/>
  <c r="F2" i="10"/>
  <c r="J2" i="10"/>
  <c r="G2" i="10"/>
  <c r="F9" i="5"/>
  <c r="F13" i="5"/>
  <c r="I10" i="1"/>
  <c r="B2" i="1" s="1"/>
  <c r="I3" i="1"/>
  <c r="N6" i="1"/>
  <c r="N3" i="1"/>
  <c r="L20" i="1" l="1"/>
  <c r="L19" i="1"/>
  <c r="I2" i="10"/>
  <c r="H15" i="10" s="1"/>
  <c r="E10" i="5"/>
  <c r="E11" i="5"/>
  <c r="E12" i="5"/>
  <c r="E13" i="5"/>
  <c r="E9" i="5"/>
  <c r="H14" i="10" l="1"/>
  <c r="G13" i="10"/>
  <c r="H19" i="10"/>
  <c r="H20" i="10"/>
  <c r="H18" i="10"/>
  <c r="H17" i="10"/>
  <c r="G20" i="10"/>
  <c r="G15" i="10"/>
  <c r="H12" i="10"/>
  <c r="G19" i="10"/>
  <c r="G18" i="10"/>
  <c r="G17" i="10"/>
  <c r="G16" i="10"/>
  <c r="G12" i="10"/>
  <c r="G14" i="10"/>
  <c r="H13" i="10"/>
  <c r="H16" i="10"/>
  <c r="E3" i="10"/>
  <c r="E4" i="10" s="1"/>
  <c r="G11" i="10"/>
  <c r="H10" i="10"/>
  <c r="G10" i="10"/>
  <c r="D3" i="10"/>
  <c r="D4" i="10" s="1"/>
  <c r="G9" i="10"/>
  <c r="H11" i="10"/>
  <c r="H9" i="10"/>
  <c r="H2" i="5"/>
  <c r="J2" i="5"/>
  <c r="G2" i="5"/>
  <c r="F2" i="5"/>
  <c r="B2" i="8"/>
  <c r="N45" i="8"/>
  <c r="H45" i="8"/>
  <c r="G45" i="8"/>
  <c r="E45" i="8"/>
  <c r="N44" i="8"/>
  <c r="H44" i="8"/>
  <c r="G44" i="8"/>
  <c r="F44" i="8"/>
  <c r="E44" i="8"/>
  <c r="C44" i="8"/>
  <c r="N43" i="8"/>
  <c r="H43" i="8"/>
  <c r="G43" i="8"/>
  <c r="F43" i="8" s="1"/>
  <c r="E43" i="8"/>
  <c r="N42" i="8"/>
  <c r="H42" i="8"/>
  <c r="G42" i="8"/>
  <c r="F42" i="8" s="1"/>
  <c r="E42" i="8"/>
  <c r="C42" i="8"/>
  <c r="N41" i="8"/>
  <c r="H41" i="8"/>
  <c r="G41" i="8"/>
  <c r="F41" i="8" s="1"/>
  <c r="E41" i="8"/>
  <c r="N40" i="8"/>
  <c r="H40" i="8"/>
  <c r="G40" i="8"/>
  <c r="F40" i="8" s="1"/>
  <c r="E40" i="8"/>
  <c r="N38" i="8"/>
  <c r="H38" i="8"/>
  <c r="G38" i="8"/>
  <c r="F38" i="8" s="1"/>
  <c r="E38" i="8"/>
  <c r="C38" i="8"/>
  <c r="N37" i="8"/>
  <c r="H37" i="8"/>
  <c r="G37" i="8"/>
  <c r="F37" i="8" s="1"/>
  <c r="E37" i="8"/>
  <c r="C37" i="8"/>
  <c r="N36" i="8"/>
  <c r="H36" i="8"/>
  <c r="G36" i="8"/>
  <c r="F36" i="8" s="1"/>
  <c r="E36" i="8"/>
  <c r="C36" i="8"/>
  <c r="N35" i="8"/>
  <c r="H35" i="8"/>
  <c r="G35" i="8"/>
  <c r="F35" i="8" s="1"/>
  <c r="E35" i="8"/>
  <c r="C35" i="8"/>
  <c r="N34" i="8"/>
  <c r="H34" i="8"/>
  <c r="G34" i="8"/>
  <c r="F34" i="8" s="1"/>
  <c r="E34" i="8"/>
  <c r="C34" i="8"/>
  <c r="N33" i="8"/>
  <c r="H33" i="8"/>
  <c r="G33" i="8"/>
  <c r="F33" i="8" s="1"/>
  <c r="E33" i="8"/>
  <c r="C33" i="8"/>
  <c r="N32" i="8"/>
  <c r="H32" i="8"/>
  <c r="G32" i="8"/>
  <c r="F32" i="8" s="1"/>
  <c r="E32" i="8"/>
  <c r="C32" i="8"/>
  <c r="N31" i="8"/>
  <c r="H31" i="8"/>
  <c r="G31" i="8"/>
  <c r="F31" i="8" s="1"/>
  <c r="E31" i="8"/>
  <c r="C31" i="8"/>
  <c r="N30" i="8"/>
  <c r="H30" i="8"/>
  <c r="G30" i="8"/>
  <c r="F30" i="8" s="1"/>
  <c r="E30" i="8"/>
  <c r="C30" i="8"/>
  <c r="N29" i="8"/>
  <c r="H29" i="8"/>
  <c r="G29" i="8"/>
  <c r="F29" i="8" s="1"/>
  <c r="E29" i="8"/>
  <c r="C29" i="8"/>
  <c r="N28" i="8"/>
  <c r="H28" i="8"/>
  <c r="G28" i="8"/>
  <c r="F28" i="8" s="1"/>
  <c r="E28" i="8"/>
  <c r="C28" i="8"/>
  <c r="N27" i="8"/>
  <c r="H27" i="8"/>
  <c r="G27" i="8"/>
  <c r="F27" i="8" s="1"/>
  <c r="E27" i="8"/>
  <c r="N26" i="8"/>
  <c r="H26" i="8"/>
  <c r="G26" i="8"/>
  <c r="F26" i="8" s="1"/>
  <c r="E26" i="8"/>
  <c r="N24" i="8"/>
  <c r="H24" i="8"/>
  <c r="G24" i="8"/>
  <c r="F24" i="8" s="1"/>
  <c r="E24" i="8"/>
  <c r="N23" i="8"/>
  <c r="H23" i="8"/>
  <c r="G23" i="8"/>
  <c r="F23" i="8" s="1"/>
  <c r="E23" i="8"/>
  <c r="N22" i="8"/>
  <c r="H22" i="8"/>
  <c r="G22" i="8"/>
  <c r="E22" i="8"/>
  <c r="N21" i="8"/>
  <c r="H21" i="8"/>
  <c r="G21" i="8"/>
  <c r="E21" i="8"/>
  <c r="N20" i="8"/>
  <c r="H20" i="8"/>
  <c r="G20" i="8"/>
  <c r="F20" i="8" s="1"/>
  <c r="E20" i="8"/>
  <c r="C20" i="8"/>
  <c r="N19" i="8"/>
  <c r="H19" i="8"/>
  <c r="G19" i="8"/>
  <c r="F19" i="8" s="1"/>
  <c r="E19" i="8"/>
  <c r="C19" i="8"/>
  <c r="N18" i="8"/>
  <c r="H18" i="8"/>
  <c r="G18" i="8"/>
  <c r="F18" i="8"/>
  <c r="E18" i="8"/>
  <c r="C18" i="8"/>
  <c r="N17" i="8"/>
  <c r="H17" i="8"/>
  <c r="G17" i="8"/>
  <c r="F17" i="8" s="1"/>
  <c r="E17" i="8"/>
  <c r="C17" i="8"/>
  <c r="N16" i="8"/>
  <c r="H16" i="8"/>
  <c r="G16" i="8"/>
  <c r="E16" i="8"/>
  <c r="C16" i="8"/>
  <c r="N15" i="8"/>
  <c r="H15" i="8"/>
  <c r="G15" i="8"/>
  <c r="F15" i="8" s="1"/>
  <c r="E15" i="8"/>
  <c r="C15" i="8"/>
  <c r="B10" i="8"/>
  <c r="L48" i="8" s="1"/>
  <c r="B9" i="8"/>
  <c r="B8" i="8"/>
  <c r="B7" i="8"/>
  <c r="D7" i="8" s="1"/>
  <c r="B6" i="8"/>
  <c r="B4" i="8"/>
  <c r="A4" i="8" s="1"/>
  <c r="B3" i="8"/>
  <c r="I28" i="8" l="1"/>
  <c r="I36" i="8"/>
  <c r="I18" i="8"/>
  <c r="J18" i="8" s="1"/>
  <c r="I42" i="8"/>
  <c r="J42" i="8" s="1"/>
  <c r="I16" i="8"/>
  <c r="J16" i="8" s="1"/>
  <c r="I34" i="8"/>
  <c r="J34" i="8" s="1"/>
  <c r="L20" i="8"/>
  <c r="L19" i="8"/>
  <c r="I30" i="8"/>
  <c r="J30" i="8" s="1"/>
  <c r="I37" i="8"/>
  <c r="I38" i="8"/>
  <c r="J38" i="8" s="1"/>
  <c r="L38" i="8" s="1"/>
  <c r="M38" i="8" s="1"/>
  <c r="O38" i="8" s="1"/>
  <c r="P38" i="8" s="1"/>
  <c r="I32" i="8"/>
  <c r="J32" i="8" s="1"/>
  <c r="I2" i="5"/>
  <c r="H12" i="5" s="1"/>
  <c r="I20" i="8"/>
  <c r="J20" i="8" s="1"/>
  <c r="K5" i="1"/>
  <c r="C23" i="8"/>
  <c r="C22" i="8"/>
  <c r="I22" i="8" s="1"/>
  <c r="J22" i="8" s="1"/>
  <c r="M22" i="8" s="1"/>
  <c r="O22" i="8" s="1"/>
  <c r="P22" i="8" s="1"/>
  <c r="C21" i="8"/>
  <c r="I21" i="8" s="1"/>
  <c r="J21" i="8" s="1"/>
  <c r="M21" i="8" s="1"/>
  <c r="O21" i="8" s="1"/>
  <c r="P21" i="8" s="1"/>
  <c r="I23" i="8"/>
  <c r="J23" i="8" s="1"/>
  <c r="M23" i="8" s="1"/>
  <c r="O23" i="8" s="1"/>
  <c r="P23" i="8" s="1"/>
  <c r="I41" i="8"/>
  <c r="J41" i="8" s="1"/>
  <c r="I43" i="8"/>
  <c r="J43" i="8" s="1"/>
  <c r="M43" i="8" s="1"/>
  <c r="O43" i="8" s="1"/>
  <c r="P43" i="8" s="1"/>
  <c r="J28" i="8"/>
  <c r="F16" i="8"/>
  <c r="F21" i="8"/>
  <c r="I29" i="8"/>
  <c r="J29" i="8" s="1"/>
  <c r="I31" i="8"/>
  <c r="J31" i="8" s="1"/>
  <c r="I33" i="8"/>
  <c r="J33" i="8" s="1"/>
  <c r="I35" i="8"/>
  <c r="I44" i="8"/>
  <c r="J44" i="8" s="1"/>
  <c r="M44" i="8" s="1"/>
  <c r="O44" i="8" s="1"/>
  <c r="P44" i="8" s="1"/>
  <c r="J36" i="8"/>
  <c r="F22" i="8"/>
  <c r="L36" i="8"/>
  <c r="L35" i="8"/>
  <c r="L34" i="8"/>
  <c r="L33" i="8"/>
  <c r="L32" i="8"/>
  <c r="L31" i="8"/>
  <c r="C45" i="8"/>
  <c r="D2" i="8"/>
  <c r="L37" i="8"/>
  <c r="L15" i="8"/>
  <c r="F45" i="8"/>
  <c r="I45" i="8"/>
  <c r="J45" i="8" s="1"/>
  <c r="M45" i="8" s="1"/>
  <c r="O45" i="8" s="1"/>
  <c r="P45" i="8" s="1"/>
  <c r="G2" i="8"/>
  <c r="C40" i="8" s="1"/>
  <c r="B5" i="8"/>
  <c r="C26" i="8" s="1"/>
  <c r="L18" i="8"/>
  <c r="M18" i="8" s="1"/>
  <c r="O18" i="8" s="1"/>
  <c r="P18" i="8" s="1"/>
  <c r="I17" i="8"/>
  <c r="J17" i="8" s="1"/>
  <c r="J35" i="8"/>
  <c r="I15" i="8"/>
  <c r="J15" i="8" s="1"/>
  <c r="L17" i="8"/>
  <c r="L16" i="8"/>
  <c r="I19" i="8"/>
  <c r="J19" i="8" s="1"/>
  <c r="J37" i="8"/>
  <c r="L49" i="8"/>
  <c r="C42" i="6"/>
  <c r="C44" i="6"/>
  <c r="E40" i="6"/>
  <c r="E41" i="6"/>
  <c r="E42" i="6"/>
  <c r="E43" i="6"/>
  <c r="E44" i="6"/>
  <c r="E45" i="6"/>
  <c r="G40" i="6"/>
  <c r="F40" i="6" s="1"/>
  <c r="H40" i="6"/>
  <c r="G41" i="6"/>
  <c r="F41" i="6" s="1"/>
  <c r="H41" i="6"/>
  <c r="G42" i="6"/>
  <c r="I42" i="6" s="1"/>
  <c r="H42" i="6"/>
  <c r="G43" i="6"/>
  <c r="F43" i="6" s="1"/>
  <c r="H43" i="6"/>
  <c r="G44" i="6"/>
  <c r="F44" i="6" s="1"/>
  <c r="H44" i="6"/>
  <c r="G45" i="6"/>
  <c r="F45" i="6" s="1"/>
  <c r="H45" i="6"/>
  <c r="N40" i="6"/>
  <c r="N41" i="6"/>
  <c r="N42" i="6"/>
  <c r="N43" i="6"/>
  <c r="N44" i="6"/>
  <c r="N45" i="6"/>
  <c r="N26" i="6"/>
  <c r="N27" i="6"/>
  <c r="N28" i="6"/>
  <c r="N29" i="6"/>
  <c r="N30" i="6"/>
  <c r="N31" i="6"/>
  <c r="N32" i="6"/>
  <c r="N33" i="6"/>
  <c r="N34" i="6"/>
  <c r="N35" i="6"/>
  <c r="N36" i="6"/>
  <c r="N37" i="6"/>
  <c r="N38" i="6"/>
  <c r="G26" i="6"/>
  <c r="F26" i="6" s="1"/>
  <c r="H26" i="6"/>
  <c r="G27" i="6"/>
  <c r="F27" i="6" s="1"/>
  <c r="H27" i="6"/>
  <c r="G28" i="6"/>
  <c r="F28" i="6" s="1"/>
  <c r="H28" i="6"/>
  <c r="G29" i="6"/>
  <c r="H29" i="6"/>
  <c r="G30" i="6"/>
  <c r="H30" i="6"/>
  <c r="G31" i="6"/>
  <c r="F31" i="6" s="1"/>
  <c r="H31" i="6"/>
  <c r="G32" i="6"/>
  <c r="F32" i="6" s="1"/>
  <c r="H32" i="6"/>
  <c r="G33" i="6"/>
  <c r="H33" i="6"/>
  <c r="G34" i="6"/>
  <c r="H34" i="6"/>
  <c r="G35" i="6"/>
  <c r="H35" i="6"/>
  <c r="G36" i="6"/>
  <c r="F36" i="6" s="1"/>
  <c r="H36" i="6"/>
  <c r="G37" i="6"/>
  <c r="H37" i="6"/>
  <c r="G38" i="6"/>
  <c r="H38" i="6"/>
  <c r="C28" i="6"/>
  <c r="C29" i="6"/>
  <c r="C30" i="6"/>
  <c r="C31" i="6"/>
  <c r="C32" i="6"/>
  <c r="C33" i="6"/>
  <c r="C34" i="6"/>
  <c r="C35" i="6"/>
  <c r="C36" i="6"/>
  <c r="C37" i="6"/>
  <c r="C38" i="6"/>
  <c r="B6" i="6"/>
  <c r="B7" i="6"/>
  <c r="D7" i="6" s="1"/>
  <c r="B8" i="6"/>
  <c r="B9" i="6"/>
  <c r="B10" i="6"/>
  <c r="L49" i="6" s="1"/>
  <c r="B3" i="6"/>
  <c r="B4" i="6"/>
  <c r="N15" i="6"/>
  <c r="N16" i="6"/>
  <c r="N17" i="6"/>
  <c r="N18" i="6"/>
  <c r="N19" i="6"/>
  <c r="N20" i="6"/>
  <c r="N21" i="6"/>
  <c r="N22" i="6"/>
  <c r="N23" i="6"/>
  <c r="N24" i="6"/>
  <c r="G15" i="6"/>
  <c r="H15" i="6"/>
  <c r="G16" i="6"/>
  <c r="H16" i="6"/>
  <c r="G17" i="6"/>
  <c r="H17" i="6"/>
  <c r="G18" i="6"/>
  <c r="F18" i="6" s="1"/>
  <c r="H18" i="6"/>
  <c r="G19" i="6"/>
  <c r="F19" i="6" s="1"/>
  <c r="H19" i="6"/>
  <c r="G20" i="6"/>
  <c r="F20" i="6" s="1"/>
  <c r="H20" i="6"/>
  <c r="G21" i="6"/>
  <c r="F21" i="6" s="1"/>
  <c r="H21" i="6"/>
  <c r="G22" i="6"/>
  <c r="H22" i="6"/>
  <c r="G23" i="6"/>
  <c r="H23" i="6"/>
  <c r="G24" i="6"/>
  <c r="F24" i="6" s="1"/>
  <c r="H24" i="6"/>
  <c r="E26" i="6"/>
  <c r="E27" i="6"/>
  <c r="E28" i="6"/>
  <c r="E29" i="6"/>
  <c r="E30" i="6"/>
  <c r="E31" i="6"/>
  <c r="E32" i="6"/>
  <c r="E33" i="6"/>
  <c r="E34" i="6"/>
  <c r="E35" i="6"/>
  <c r="E36" i="6"/>
  <c r="E37" i="6"/>
  <c r="E38" i="6"/>
  <c r="E15" i="6"/>
  <c r="E16" i="6"/>
  <c r="E17" i="6"/>
  <c r="E18" i="6"/>
  <c r="E19" i="6"/>
  <c r="I19" i="6" s="1"/>
  <c r="E20" i="6"/>
  <c r="E21" i="6"/>
  <c r="E22" i="6"/>
  <c r="E23" i="6"/>
  <c r="E24" i="6"/>
  <c r="C17" i="6"/>
  <c r="C18" i="6"/>
  <c r="C19" i="6"/>
  <c r="C20" i="6"/>
  <c r="C16" i="6"/>
  <c r="C15" i="6"/>
  <c r="L37" i="6" s="1"/>
  <c r="K3" i="1"/>
  <c r="B2" i="6"/>
  <c r="F37" i="6"/>
  <c r="F35" i="6"/>
  <c r="F33" i="6"/>
  <c r="F29" i="6"/>
  <c r="F22" i="6"/>
  <c r="F17" i="6"/>
  <c r="F16" i="6"/>
  <c r="F15" i="6"/>
  <c r="H14" i="5" l="1"/>
  <c r="I36" i="6"/>
  <c r="I43" i="6"/>
  <c r="M19" i="8"/>
  <c r="O19" i="8" s="1"/>
  <c r="P19" i="8" s="1"/>
  <c r="M20" i="8"/>
  <c r="I18" i="6"/>
  <c r="J18" i="6" s="1"/>
  <c r="H13" i="5"/>
  <c r="I16" i="6"/>
  <c r="J16" i="6" s="1"/>
  <c r="M16" i="8"/>
  <c r="O16" i="8" s="1"/>
  <c r="P16" i="8" s="1"/>
  <c r="F42" i="6"/>
  <c r="D3" i="5"/>
  <c r="D4" i="5" s="1"/>
  <c r="H17" i="5"/>
  <c r="L19" i="6"/>
  <c r="L20" i="6"/>
  <c r="I15" i="6"/>
  <c r="J15" i="6" s="1"/>
  <c r="I35" i="6"/>
  <c r="O20" i="8"/>
  <c r="P20" i="8" s="1"/>
  <c r="H15" i="5"/>
  <c r="I37" i="6"/>
  <c r="M31" i="8"/>
  <c r="O31" i="8" s="1"/>
  <c r="P31" i="8" s="1"/>
  <c r="G16" i="5"/>
  <c r="H11" i="5"/>
  <c r="G15" i="5"/>
  <c r="G17" i="5"/>
  <c r="E3" i="5"/>
  <c r="E4" i="5" s="1"/>
  <c r="H16" i="5"/>
  <c r="G14" i="5"/>
  <c r="H10" i="5"/>
  <c r="H9" i="5"/>
  <c r="G10" i="5"/>
  <c r="L48" i="6"/>
  <c r="I28" i="6"/>
  <c r="J28" i="6" s="1"/>
  <c r="G13" i="5"/>
  <c r="G11" i="5"/>
  <c r="G12" i="5"/>
  <c r="G9" i="5"/>
  <c r="I31" i="6"/>
  <c r="J31" i="6" s="1"/>
  <c r="L34" i="6"/>
  <c r="C22" i="6"/>
  <c r="I22" i="6" s="1"/>
  <c r="J22" i="6" s="1"/>
  <c r="M22" i="6" s="1"/>
  <c r="O22" i="6" s="1"/>
  <c r="P22" i="6" s="1"/>
  <c r="C21" i="6"/>
  <c r="I21" i="6" s="1"/>
  <c r="J21" i="6" s="1"/>
  <c r="M21" i="6" s="1"/>
  <c r="O21" i="6" s="1"/>
  <c r="P21" i="6" s="1"/>
  <c r="C23" i="6"/>
  <c r="L35" i="6"/>
  <c r="L16" i="6"/>
  <c r="L32" i="6"/>
  <c r="L17" i="6"/>
  <c r="L36" i="6"/>
  <c r="J43" i="6"/>
  <c r="M43" i="6" s="1"/>
  <c r="O43" i="6" s="1"/>
  <c r="P43" i="6" s="1"/>
  <c r="I23" i="6"/>
  <c r="J23" i="6" s="1"/>
  <c r="M23" i="6" s="1"/>
  <c r="O23" i="6" s="1"/>
  <c r="P23" i="6" s="1"/>
  <c r="J35" i="6"/>
  <c r="D2" i="6"/>
  <c r="F23" i="6"/>
  <c r="L33" i="6"/>
  <c r="C45" i="6"/>
  <c r="I33" i="6"/>
  <c r="J33" i="6" s="1"/>
  <c r="I29" i="6"/>
  <c r="J29" i="6" s="1"/>
  <c r="L31" i="6"/>
  <c r="J36" i="6"/>
  <c r="I20" i="6"/>
  <c r="J20" i="6" s="1"/>
  <c r="I38" i="6"/>
  <c r="J38" i="6" s="1"/>
  <c r="L38" i="6" s="1"/>
  <c r="M38" i="6" s="1"/>
  <c r="O38" i="6" s="1"/>
  <c r="P38" i="6" s="1"/>
  <c r="I34" i="6"/>
  <c r="I32" i="6"/>
  <c r="J32" i="6" s="1"/>
  <c r="I30" i="6"/>
  <c r="J30" i="6" s="1"/>
  <c r="I45" i="6"/>
  <c r="J45" i="6" s="1"/>
  <c r="M45" i="6" s="1"/>
  <c r="O45" i="6" s="1"/>
  <c r="P45" i="6" s="1"/>
  <c r="I41" i="6"/>
  <c r="J41" i="6" s="1"/>
  <c r="J37" i="6"/>
  <c r="M37" i="6" s="1"/>
  <c r="O37" i="6" s="1"/>
  <c r="P37" i="6" s="1"/>
  <c r="M36" i="8"/>
  <c r="O36" i="8" s="1"/>
  <c r="P36" i="8" s="1"/>
  <c r="M32" i="8"/>
  <c r="O32" i="8" s="1"/>
  <c r="P32" i="8" s="1"/>
  <c r="C27" i="8"/>
  <c r="I27" i="8" s="1"/>
  <c r="J27" i="8" s="1"/>
  <c r="I26" i="8"/>
  <c r="J26" i="8" s="1"/>
  <c r="L42" i="8"/>
  <c r="M42" i="8" s="1"/>
  <c r="O42" i="8" s="1"/>
  <c r="P42" i="8" s="1"/>
  <c r="L41" i="8"/>
  <c r="M41" i="8" s="1"/>
  <c r="O41" i="8" s="1"/>
  <c r="P41" i="8" s="1"/>
  <c r="I40" i="8"/>
  <c r="J40" i="8" s="1"/>
  <c r="M17" i="8"/>
  <c r="O17" i="8" s="1"/>
  <c r="P17" i="8" s="1"/>
  <c r="M33" i="8"/>
  <c r="O33" i="8" s="1"/>
  <c r="P33" i="8" s="1"/>
  <c r="D5" i="8"/>
  <c r="L30" i="8"/>
  <c r="M30" i="8" s="1"/>
  <c r="O30" i="8" s="1"/>
  <c r="P30" i="8" s="1"/>
  <c r="L29" i="8"/>
  <c r="M29" i="8" s="1"/>
  <c r="O29" i="8" s="1"/>
  <c r="P29" i="8" s="1"/>
  <c r="L28" i="8"/>
  <c r="M28" i="8" s="1"/>
  <c r="O28" i="8" s="1"/>
  <c r="P28" i="8" s="1"/>
  <c r="L27" i="8"/>
  <c r="L26" i="8"/>
  <c r="M15" i="8"/>
  <c r="O15" i="8" s="1"/>
  <c r="M34" i="8"/>
  <c r="O34" i="8" s="1"/>
  <c r="P34" i="8" s="1"/>
  <c r="M37" i="8"/>
  <c r="O37" i="8" s="1"/>
  <c r="P37" i="8" s="1"/>
  <c r="M35" i="8"/>
  <c r="O35" i="8" s="1"/>
  <c r="P35" i="8" s="1"/>
  <c r="I44" i="6"/>
  <c r="J44" i="6" s="1"/>
  <c r="M44" i="6" s="1"/>
  <c r="O44" i="6" s="1"/>
  <c r="P44" i="6" s="1"/>
  <c r="J42" i="6"/>
  <c r="F30" i="6"/>
  <c r="F34" i="6"/>
  <c r="F38" i="6"/>
  <c r="B5" i="6"/>
  <c r="L30" i="6" s="1"/>
  <c r="A4" i="6"/>
  <c r="J34" i="6"/>
  <c r="J19" i="6"/>
  <c r="I17" i="6"/>
  <c r="J17" i="6" s="1"/>
  <c r="K4" i="1"/>
  <c r="L15" i="6"/>
  <c r="L18" i="6"/>
  <c r="G2" i="6"/>
  <c r="C21" i="1"/>
  <c r="I21" i="1" s="1"/>
  <c r="J21" i="1" s="1"/>
  <c r="M21" i="1" s="1"/>
  <c r="O21" i="1" s="1"/>
  <c r="P21" i="1" s="1"/>
  <c r="F21" i="1"/>
  <c r="C23" i="1"/>
  <c r="I23" i="1"/>
  <c r="J23" i="1" s="1"/>
  <c r="M23" i="1" s="1"/>
  <c r="O23" i="1" s="1"/>
  <c r="P23" i="1" s="1"/>
  <c r="F23" i="1"/>
  <c r="L35" i="1"/>
  <c r="L33" i="1"/>
  <c r="L34" i="1"/>
  <c r="M18" i="6" l="1"/>
  <c r="O18" i="6" s="1"/>
  <c r="P18" i="6" s="1"/>
  <c r="M31" i="6"/>
  <c r="O31" i="6" s="1"/>
  <c r="P31" i="6" s="1"/>
  <c r="M27" i="8"/>
  <c r="O27" i="8" s="1"/>
  <c r="P27" i="8" s="1"/>
  <c r="M16" i="6"/>
  <c r="O16" i="6" s="1"/>
  <c r="P16" i="6" s="1"/>
  <c r="L29" i="6"/>
  <c r="M29" i="6" s="1"/>
  <c r="O29" i="6" s="1"/>
  <c r="P29" i="6" s="1"/>
  <c r="M26" i="8"/>
  <c r="P26" i="8" s="1"/>
  <c r="M36" i="6"/>
  <c r="O36" i="6" s="1"/>
  <c r="P36" i="6" s="1"/>
  <c r="M35" i="6"/>
  <c r="O35" i="6" s="1"/>
  <c r="P35" i="6" s="1"/>
  <c r="M19" i="6"/>
  <c r="O19" i="6" s="1"/>
  <c r="P19" i="6" s="1"/>
  <c r="M17" i="6"/>
  <c r="O17" i="6" s="1"/>
  <c r="P17" i="6" s="1"/>
  <c r="M20" i="6"/>
  <c r="O20" i="6" s="1"/>
  <c r="P20" i="6" s="1"/>
  <c r="M34" i="6"/>
  <c r="O34" i="6" s="1"/>
  <c r="P34" i="6" s="1"/>
  <c r="M32" i="6"/>
  <c r="O32" i="6" s="1"/>
  <c r="P32" i="6" s="1"/>
  <c r="M30" i="6"/>
  <c r="O30" i="6" s="1"/>
  <c r="P30" i="6" s="1"/>
  <c r="M33" i="6"/>
  <c r="O33" i="6" s="1"/>
  <c r="P33" i="6" s="1"/>
  <c r="M15" i="6"/>
  <c r="O15" i="6" s="1"/>
  <c r="P15" i="6" s="1"/>
  <c r="L27" i="6"/>
  <c r="P15" i="8"/>
  <c r="L28" i="6"/>
  <c r="M28" i="6" s="1"/>
  <c r="O28" i="6" s="1"/>
  <c r="P28" i="6" s="1"/>
  <c r="C26" i="6"/>
  <c r="D5" i="6"/>
  <c r="L26" i="6"/>
  <c r="C40" i="6"/>
  <c r="L41" i="6" s="1"/>
  <c r="M41" i="6" s="1"/>
  <c r="O41" i="6" s="1"/>
  <c r="P41" i="6" s="1"/>
  <c r="A4" i="1"/>
  <c r="J37" i="1"/>
  <c r="L37" i="1"/>
  <c r="I29" i="1"/>
  <c r="J29" i="1" s="1"/>
  <c r="I30" i="1"/>
  <c r="J30" i="1" s="1"/>
  <c r="F29" i="1"/>
  <c r="F30" i="1"/>
  <c r="G2" i="1"/>
  <c r="O26" i="8" l="1"/>
  <c r="M37" i="1"/>
  <c r="O37" i="1" s="1"/>
  <c r="P37" i="1" s="1"/>
  <c r="C40" i="1"/>
  <c r="L42" i="1" s="1"/>
  <c r="C27" i="6"/>
  <c r="I27" i="6" s="1"/>
  <c r="J27" i="6" s="1"/>
  <c r="M27" i="6" s="1"/>
  <c r="O27" i="6" s="1"/>
  <c r="P27" i="6" s="1"/>
  <c r="I26" i="6"/>
  <c r="J26" i="6" s="1"/>
  <c r="M26" i="6" s="1"/>
  <c r="L42" i="6"/>
  <c r="M42" i="6" s="1"/>
  <c r="O42" i="6" s="1"/>
  <c r="P42" i="6" s="1"/>
  <c r="I40" i="6"/>
  <c r="J40" i="6" s="1"/>
  <c r="C41" i="1"/>
  <c r="J35" i="1"/>
  <c r="F37" i="1"/>
  <c r="I37" i="1"/>
  <c r="L36" i="1"/>
  <c r="L32" i="1"/>
  <c r="D7" i="1"/>
  <c r="F45" i="1"/>
  <c r="F44" i="1"/>
  <c r="F43" i="1"/>
  <c r="F42" i="1"/>
  <c r="F41" i="1"/>
  <c r="F40" i="1"/>
  <c r="F38" i="1"/>
  <c r="F36" i="1"/>
  <c r="F35" i="1"/>
  <c r="F34" i="1"/>
  <c r="F33" i="1"/>
  <c r="F32" i="1"/>
  <c r="F31" i="1"/>
  <c r="F28" i="1"/>
  <c r="F27" i="1"/>
  <c r="F26" i="1"/>
  <c r="F24" i="1"/>
  <c r="F17" i="1"/>
  <c r="F18" i="1"/>
  <c r="F19" i="1"/>
  <c r="F20" i="1"/>
  <c r="F22" i="1"/>
  <c r="F16" i="1"/>
  <c r="F15" i="1"/>
  <c r="B5" i="1"/>
  <c r="C26" i="1" s="1"/>
  <c r="C27" i="1" s="1"/>
  <c r="L31" i="1"/>
  <c r="C41" i="8" l="1"/>
  <c r="L40" i="8" s="1"/>
  <c r="M40" i="8" s="1"/>
  <c r="O40" i="8" s="1"/>
  <c r="P40" i="8" s="1"/>
  <c r="C41" i="6"/>
  <c r="L40" i="6" s="1"/>
  <c r="M40" i="6" s="1"/>
  <c r="O40" i="6" s="1"/>
  <c r="P40" i="6" s="1"/>
  <c r="L29" i="1"/>
  <c r="M29" i="1" s="1"/>
  <c r="O29" i="1" s="1"/>
  <c r="P29" i="1" s="1"/>
  <c r="L30" i="1"/>
  <c r="M30" i="1" s="1"/>
  <c r="O30" i="1" s="1"/>
  <c r="P30" i="1" s="1"/>
  <c r="L27" i="1"/>
  <c r="L41" i="1"/>
  <c r="P26" i="6"/>
  <c r="O26" i="6"/>
  <c r="L40" i="1"/>
  <c r="L28" i="1"/>
  <c r="L26" i="1"/>
  <c r="C22" i="1"/>
  <c r="I22" i="1" s="1"/>
  <c r="J22" i="1" s="1"/>
  <c r="M22" i="1" s="1"/>
  <c r="L49" i="1"/>
  <c r="I45" i="1"/>
  <c r="I44" i="1"/>
  <c r="J44" i="1" s="1"/>
  <c r="I43" i="1"/>
  <c r="I42" i="1"/>
  <c r="I41" i="1"/>
  <c r="I38" i="1"/>
  <c r="J38" i="1" s="1"/>
  <c r="L38" i="1" s="1"/>
  <c r="M38" i="1" s="1"/>
  <c r="I35" i="1"/>
  <c r="I36" i="1"/>
  <c r="I34" i="1"/>
  <c r="J34" i="1" s="1"/>
  <c r="I33" i="1"/>
  <c r="J33" i="1" s="1"/>
  <c r="M33" i="1" s="1"/>
  <c r="I32" i="1"/>
  <c r="I31" i="1"/>
  <c r="I28" i="1"/>
  <c r="J28" i="1" s="1"/>
  <c r="I26" i="1"/>
  <c r="I17" i="1"/>
  <c r="J17" i="1" s="1"/>
  <c r="I18" i="1"/>
  <c r="I19" i="1"/>
  <c r="J19" i="1" s="1"/>
  <c r="M19" i="1" s="1"/>
  <c r="I20" i="1"/>
  <c r="J20" i="1" s="1"/>
  <c r="M20" i="1" s="1"/>
  <c r="I16" i="1"/>
  <c r="J16" i="1" s="1"/>
  <c r="I15" i="1"/>
  <c r="J15" i="1" s="1"/>
  <c r="J36" i="1" l="1"/>
  <c r="M36" i="1" s="1"/>
  <c r="O36" i="1" s="1"/>
  <c r="P36" i="1" s="1"/>
  <c r="J43" i="1"/>
  <c r="M43" i="1" s="1"/>
  <c r="O43" i="1" s="1"/>
  <c r="P43" i="1" s="1"/>
  <c r="J32" i="1"/>
  <c r="M32" i="1" s="1"/>
  <c r="O32" i="1" s="1"/>
  <c r="P32" i="1" s="1"/>
  <c r="M35" i="1"/>
  <c r="O35" i="1" s="1"/>
  <c r="P35" i="1" s="1"/>
  <c r="M34" i="1"/>
  <c r="O34" i="1" s="1"/>
  <c r="P34" i="1" s="1"/>
  <c r="O33" i="1"/>
  <c r="P33" i="1" s="1"/>
  <c r="M28" i="1"/>
  <c r="O28" i="1" s="1"/>
  <c r="P28" i="1" s="1"/>
  <c r="J18" i="1"/>
  <c r="D5" i="1"/>
  <c r="J26" i="1"/>
  <c r="M26" i="1" l="1"/>
  <c r="P26" i="1" s="1"/>
  <c r="L15" i="1"/>
  <c r="L18" i="1"/>
  <c r="L16" i="1"/>
  <c r="L17" i="1" l="1"/>
  <c r="M17" i="1" s="1"/>
  <c r="O17" i="1" s="1"/>
  <c r="P17" i="1" s="1"/>
  <c r="L48" i="1"/>
  <c r="C43" i="1"/>
  <c r="D2" i="1"/>
  <c r="M18" i="1"/>
  <c r="O18" i="1" s="1"/>
  <c r="P18" i="1" s="1"/>
  <c r="J45" i="1"/>
  <c r="M45" i="1" s="1"/>
  <c r="J42" i="1"/>
  <c r="J41" i="1"/>
  <c r="O38" i="1"/>
  <c r="P38" i="1" s="1"/>
  <c r="I27" i="1"/>
  <c r="J27" i="1" s="1"/>
  <c r="M27" i="1" s="1"/>
  <c r="C24" i="1"/>
  <c r="O20" i="1"/>
  <c r="P20" i="1" s="1"/>
  <c r="M16" i="1"/>
  <c r="O16" i="1" s="1"/>
  <c r="P16" i="1" s="1"/>
  <c r="C24" i="8" l="1"/>
  <c r="C24" i="6"/>
  <c r="I24" i="1"/>
  <c r="C43" i="8"/>
  <c r="C43" i="6"/>
  <c r="M42" i="1"/>
  <c r="O42" i="1" s="1"/>
  <c r="P42" i="1" s="1"/>
  <c r="I40" i="1"/>
  <c r="J40" i="1" s="1"/>
  <c r="M40" i="1" s="1"/>
  <c r="O40" i="1" s="1"/>
  <c r="P40" i="1" s="1"/>
  <c r="M44" i="1"/>
  <c r="O44" i="1" s="1"/>
  <c r="P44" i="1" s="1"/>
  <c r="J31" i="1"/>
  <c r="M31" i="1" s="1"/>
  <c r="O31" i="1" s="1"/>
  <c r="P31" i="1" s="1"/>
  <c r="L24" i="1"/>
  <c r="M15" i="1"/>
  <c r="O22" i="1"/>
  <c r="P22" i="1" s="1"/>
  <c r="O27" i="1"/>
  <c r="P27" i="1" s="1"/>
  <c r="O45" i="1"/>
  <c r="P45" i="1" s="1"/>
  <c r="O26" i="1"/>
  <c r="O19" i="1"/>
  <c r="I24" i="6" l="1"/>
  <c r="J24" i="6" s="1"/>
  <c r="L24" i="6"/>
  <c r="I24" i="8"/>
  <c r="J24" i="8" s="1"/>
  <c r="L24" i="8"/>
  <c r="M41" i="1"/>
  <c r="O41" i="1" s="1"/>
  <c r="P41" i="1" s="1"/>
  <c r="P19" i="1"/>
  <c r="J24" i="1"/>
  <c r="M24" i="1" s="1"/>
  <c r="O15" i="1"/>
  <c r="P15" i="1" s="1"/>
  <c r="M24" i="8" l="1"/>
  <c r="O24" i="8" s="1"/>
  <c r="M24" i="6"/>
  <c r="O24" i="6" s="1"/>
  <c r="O24" i="1"/>
  <c r="P24" i="6" l="1"/>
  <c r="M46" i="6"/>
  <c r="M47" i="6" s="1"/>
  <c r="P24" i="8"/>
  <c r="M46" i="8"/>
  <c r="M47" i="8" s="1"/>
  <c r="P24" i="1"/>
  <c r="M46" i="1"/>
  <c r="M47" i="1" s="1"/>
  <c r="P48" i="8" l="1"/>
  <c r="P47" i="8" s="1"/>
  <c r="M49" i="8" s="1"/>
  <c r="P48" i="6"/>
  <c r="P47" i="6" s="1"/>
  <c r="M48" i="6" s="1"/>
  <c r="L4" i="1" s="1"/>
  <c r="M4" i="1" s="1"/>
  <c r="P48" i="1"/>
  <c r="P47" i="1" s="1"/>
  <c r="M48" i="8" l="1"/>
  <c r="L5" i="1" s="1"/>
  <c r="M5" i="1" s="1"/>
  <c r="M49" i="6"/>
  <c r="M48" i="1"/>
  <c r="L3" i="1" s="1"/>
  <c r="M49" i="1"/>
  <c r="K8" i="1" l="1"/>
  <c r="M3" i="1"/>
  <c r="L8" i="1"/>
</calcChain>
</file>

<file path=xl/comments1.xml><?xml version="1.0" encoding="utf-8"?>
<comments xmlns="http://schemas.openxmlformats.org/spreadsheetml/2006/main">
  <authors>
    <author>Mike Bair</author>
  </authors>
  <commentList>
    <comment ref="B2" authorId="0" shapeId="0">
      <text>
        <r>
          <rPr>
            <b/>
            <sz val="9"/>
            <color indexed="81"/>
            <rFont val="Tahoma"/>
            <family val="2"/>
          </rPr>
          <t xml:space="preserve">Enter maximum pressure in Pa.  </t>
        </r>
      </text>
    </comment>
    <comment ref="I2" authorId="0" shapeId="0">
      <text>
        <r>
          <rPr>
            <b/>
            <sz val="9"/>
            <color indexed="81"/>
            <rFont val="Tahoma"/>
            <family val="2"/>
          </rPr>
          <t>Enter the minimum pressure in Pa that you will measure with the Piston Gauge</t>
        </r>
      </text>
    </comment>
    <comment ref="B7" authorId="0" shapeId="0">
      <text>
        <r>
          <rPr>
            <b/>
            <sz val="9"/>
            <color indexed="81"/>
            <rFont val="Tahoma"/>
            <family val="2"/>
          </rPr>
          <t>Enter the maximum head height made with the Piston Gauge.</t>
        </r>
      </text>
    </comment>
    <comment ref="B8" authorId="0" shapeId="0">
      <text>
        <r>
          <rPr>
            <b/>
            <sz val="9"/>
            <color indexed="81"/>
            <rFont val="Tahoma"/>
            <family val="2"/>
          </rPr>
          <t>Enter the p-c effective area reference temperature from the calibration certificate.</t>
        </r>
      </text>
    </comment>
    <comment ref="B9" authorId="0" shapeId="0">
      <text>
        <r>
          <rPr>
            <b/>
            <sz val="9"/>
            <color indexed="81"/>
            <rFont val="Tahoma"/>
            <family val="2"/>
          </rPr>
          <t xml:space="preserve">Enter the largest temperature correction made for temperature of the piston-cylinder.  It is fine to be conservative here.  If your lab is 20 to 26 deg C and reference temperature is 23, then this value is 3.
</t>
        </r>
      </text>
    </comment>
    <comment ref="I9" authorId="0" shapeId="0">
      <text>
        <r>
          <rPr>
            <b/>
            <sz val="9"/>
            <color indexed="81"/>
            <rFont val="Tahoma"/>
            <family val="2"/>
          </rPr>
          <t>You can use this psi to Pa converter if you are used to using psi.  For other units you can just use a simple unit converter tool.</t>
        </r>
      </text>
    </comment>
    <comment ref="B10" authorId="0" shapeId="0">
      <text>
        <r>
          <rPr>
            <b/>
            <sz val="9"/>
            <color indexed="81"/>
            <rFont val="Tahoma"/>
            <family val="2"/>
          </rPr>
          <t xml:space="preserve">Enter the confidence for the complete uncertainty analysis.
</t>
        </r>
      </text>
    </comment>
    <comment ref="N12" authorId="0" shapeId="0">
      <text>
        <r>
          <rPr>
            <b/>
            <sz val="9"/>
            <color indexed="81"/>
            <rFont val="Tahoma"/>
            <family val="2"/>
          </rPr>
          <t>Note that entering 30 for these gives a k of 2.  If you are less confident of these uncertainties then reduce these values as appropriate.</t>
        </r>
      </text>
    </comment>
    <comment ref="E13" authorId="0" shapeId="0">
      <text>
        <r>
          <rPr>
            <b/>
            <sz val="9"/>
            <color indexed="81"/>
            <rFont val="Tahoma"/>
            <family val="2"/>
          </rPr>
          <t>Enter the value of the uncertainty for each parameter.  It can be a % of the Approx Value column or a value in the unit of measure for that parameter.  Enter 1 in the column to the right for % of the parameter value or 2 if it is in the parameter's unit.</t>
        </r>
      </text>
    </comment>
    <comment ref="C15" authorId="0" shapeId="0">
      <text>
        <r>
          <rPr>
            <b/>
            <sz val="9"/>
            <color indexed="81"/>
            <rFont val="Tahoma"/>
            <family val="2"/>
          </rPr>
          <t>Enter the effective area value from the calibration certificate in M^2.</t>
        </r>
      </text>
    </comment>
    <comment ref="C16" authorId="0" shapeId="0">
      <text>
        <r>
          <rPr>
            <b/>
            <sz val="9"/>
            <color indexed="81"/>
            <rFont val="Tahoma"/>
            <family val="2"/>
          </rPr>
          <t>Enter the thermal expansion coefficient for the piston, then cylinder below.  If you only know the combination of them you can enter here and use 0 for cylinder.</t>
        </r>
      </text>
    </comment>
    <comment ref="C18" authorId="0" shapeId="0">
      <text>
        <r>
          <rPr>
            <b/>
            <sz val="9"/>
            <color indexed="81"/>
            <rFont val="Tahoma"/>
            <family val="2"/>
          </rPr>
          <t>The reference value plus maximum difference from above is used here.  So it is locked.</t>
        </r>
      </text>
    </comment>
    <comment ref="C19" authorId="0" shapeId="0">
      <text>
        <r>
          <rPr>
            <b/>
            <sz val="9"/>
            <color indexed="81"/>
            <rFont val="Tahoma"/>
            <family val="2"/>
          </rPr>
          <t>Enter the pressure distortion coefficient from the certificate here and if there is a 2nd order in the cell below.  This must be in 1/MPa.  If the report is in another unit use the inverse of the unit conversion.  For the 2nd order coefficient use the inverse of the unit conversion squared.</t>
        </r>
      </text>
    </comment>
    <comment ref="E19" authorId="0" shapeId="0">
      <text>
        <r>
          <rPr>
            <b/>
            <sz val="9"/>
            <color indexed="81"/>
            <rFont val="Tahoma"/>
            <family val="2"/>
          </rPr>
          <t>You should only include this uncertainty if you are using a theoretical deformation coefficient as with many PG7000 Piston Gauges.</t>
        </r>
      </text>
    </comment>
    <comment ref="C21" authorId="0" shapeId="0">
      <text>
        <r>
          <rPr>
            <b/>
            <sz val="9"/>
            <color indexed="81"/>
            <rFont val="Tahoma"/>
            <family val="2"/>
          </rPr>
          <t>Always the pressure here so is just what is entered above.</t>
        </r>
      </text>
    </comment>
    <comment ref="E21" authorId="0" shapeId="0">
      <text>
        <r>
          <rPr>
            <b/>
            <sz val="9"/>
            <color indexed="81"/>
            <rFont val="Tahoma"/>
            <family val="2"/>
          </rPr>
          <t>Enter from the PG uncertainty technical Note</t>
        </r>
      </text>
    </comment>
    <comment ref="E22" authorId="0" shapeId="0">
      <text>
        <r>
          <rPr>
            <b/>
            <sz val="9"/>
            <color indexed="81"/>
            <rFont val="Tahoma"/>
            <family val="2"/>
          </rPr>
          <t>You can enter sensitivity in % of value here.  Just below you can enter the threshold value.  You can find these from the uncertainty technical notes</t>
        </r>
      </text>
    </comment>
    <comment ref="E24" authorId="0" shapeId="0">
      <text>
        <r>
          <rPr>
            <b/>
            <sz val="9"/>
            <color indexed="81"/>
            <rFont val="Tahoma"/>
            <family val="2"/>
          </rPr>
          <t>If your effective area uncertaitny does not inlcude drift you can enter it here separately</t>
        </r>
      </text>
    </comment>
    <comment ref="E27" authorId="0" shapeId="0">
      <text>
        <r>
          <rPr>
            <b/>
            <sz val="9"/>
            <color indexed="81"/>
            <rFont val="Tahoma"/>
            <family val="2"/>
          </rPr>
          <t>Enter a value for stability here if not included in mass uncertainty above.</t>
        </r>
      </text>
    </comment>
    <comment ref="E28" authorId="0" shapeId="0">
      <text>
        <r>
          <rPr>
            <b/>
            <sz val="9"/>
            <color indexed="81"/>
            <rFont val="Tahoma"/>
            <family val="2"/>
          </rPr>
          <t>Enter uncertainty due to AMH lubrication grease on threads of stem and binary tray from PG9000 technical note.</t>
        </r>
      </text>
    </comment>
    <comment ref="E29" authorId="0" shapeId="0">
      <text>
        <r>
          <rPr>
            <b/>
            <sz val="9"/>
            <color indexed="81"/>
            <rFont val="Tahoma"/>
            <family val="2"/>
          </rPr>
          <t xml:space="preserve">If piston (or cylinder if floating piece) mass uncertainty  is different from main mass enter here. </t>
        </r>
      </text>
    </comment>
    <comment ref="E30" authorId="0" shapeId="0">
      <text>
        <r>
          <rPr>
            <b/>
            <sz val="9"/>
            <color indexed="81"/>
            <rFont val="Tahoma"/>
            <family val="2"/>
          </rPr>
          <t>If bell uncertainty is different from main mass then enter here.</t>
        </r>
      </text>
    </comment>
    <comment ref="C32" authorId="0" shapeId="0">
      <text>
        <r>
          <rPr>
            <b/>
            <sz val="9"/>
            <color indexed="81"/>
            <rFont val="Tahoma"/>
            <family val="2"/>
          </rPr>
          <t xml:space="preserve">You can enter the air density here.  Nominal is ok.  The spreadsheet is set up so that you can just enter an overall uncertainty for air density, or you can enter the uncertainty for the ambient conditions used to calculate air density (second may be easier).  If you enter zero for Air Density, ambient data is used.  If you enter an air density uncertainty then ambient data is not use as this would be doubling the uncertainty.  </t>
        </r>
      </text>
    </comment>
    <comment ref="E32" authorId="0" shapeId="0">
      <text>
        <r>
          <rPr>
            <b/>
            <sz val="9"/>
            <color indexed="81"/>
            <rFont val="Tahoma"/>
            <family val="2"/>
          </rPr>
          <t>If this is grayed out and not used you have selected absolte by vac mode.</t>
        </r>
      </text>
    </comment>
    <comment ref="C36" authorId="0" shapeId="0">
      <text>
        <r>
          <rPr>
            <b/>
            <sz val="9"/>
            <color indexed="81"/>
            <rFont val="Tahoma"/>
            <family val="2"/>
          </rPr>
          <t>You should enter worse case average density here.  The lowest value is the biggest correction and the highest uncertainty.</t>
        </r>
      </text>
    </comment>
    <comment ref="E36" authorId="0" shapeId="0">
      <text>
        <r>
          <rPr>
            <b/>
            <sz val="9"/>
            <color indexed="81"/>
            <rFont val="Tahoma"/>
            <family val="2"/>
          </rPr>
          <t>It is not intuitive but the uncertainty in mass density gets included when in absolute by vac mode, not gauge.</t>
        </r>
      </text>
    </comment>
    <comment ref="E38" authorId="0" shapeId="0">
      <text>
        <r>
          <rPr>
            <b/>
            <sz val="9"/>
            <color indexed="81"/>
            <rFont val="Tahoma"/>
            <family val="2"/>
          </rPr>
          <t>Convert verticality in minutes to degrees to enter here (minutes/60)</t>
        </r>
      </text>
    </comment>
    <comment ref="C44" authorId="0" shapeId="0">
      <text>
        <r>
          <rPr>
            <b/>
            <sz val="9"/>
            <color indexed="81"/>
            <rFont val="Tahoma"/>
            <family val="2"/>
          </rPr>
          <t xml:space="preserve">This is limit.  Enter the highest vacuum pressure that will be used.   If you always wait until vacuum is less than 2 Pa, then enter 2.  </t>
        </r>
      </text>
    </comment>
    <comment ref="C45" authorId="0" shapeId="0">
      <text>
        <r>
          <rPr>
            <b/>
            <sz val="9"/>
            <color indexed="81"/>
            <rFont val="Tahoma"/>
            <family val="2"/>
          </rPr>
          <t>This is a wild card uncertianty if there is one you want to inlcude that is not in the list here.</t>
        </r>
      </text>
    </comment>
  </commentList>
</comments>
</file>

<file path=xl/sharedStrings.xml><?xml version="1.0" encoding="utf-8"?>
<sst xmlns="http://schemas.openxmlformats.org/spreadsheetml/2006/main" count="616" uniqueCount="194">
  <si>
    <t>Influence Quantities</t>
  </si>
  <si>
    <t>Pressure Variant Terms</t>
  </si>
  <si>
    <t>Typical</t>
  </si>
  <si>
    <t>Approx.</t>
  </si>
  <si>
    <t>Equiv. Std.</t>
  </si>
  <si>
    <t>Sensitivity</t>
  </si>
  <si>
    <t>Std. Unc.</t>
  </si>
  <si>
    <t>Variance</t>
  </si>
  <si>
    <t>Description</t>
  </si>
  <si>
    <t>Symbol</t>
  </si>
  <si>
    <t>Value</t>
  </si>
  <si>
    <t>Units</t>
  </si>
  <si>
    <r>
      <t>Unc. (1</t>
    </r>
    <r>
      <rPr>
        <b/>
        <sz val="10"/>
        <rFont val="Symbol"/>
        <family val="1"/>
        <charset val="2"/>
      </rPr>
      <t>s</t>
    </r>
    <r>
      <rPr>
        <b/>
        <sz val="10"/>
        <rFont val="Arial"/>
        <family val="2"/>
      </rPr>
      <t>)</t>
    </r>
  </si>
  <si>
    <t>Coefficient</t>
  </si>
  <si>
    <t>Effective Area Terms</t>
  </si>
  <si>
    <t>Effective Area</t>
  </si>
  <si>
    <r>
      <t>A</t>
    </r>
    <r>
      <rPr>
        <vertAlign val="subscript"/>
        <sz val="10"/>
        <rFont val="Arial"/>
        <family val="2"/>
      </rPr>
      <t>o</t>
    </r>
  </si>
  <si>
    <r>
      <t>m</t>
    </r>
    <r>
      <rPr>
        <vertAlign val="superscript"/>
        <sz val="10"/>
        <rFont val="Arial"/>
        <family val="2"/>
      </rPr>
      <t>2</t>
    </r>
  </si>
  <si>
    <t>Piston Thermal Coef.</t>
  </si>
  <si>
    <r>
      <t>a</t>
    </r>
    <r>
      <rPr>
        <vertAlign val="subscript"/>
        <sz val="10"/>
        <rFont val="Arial"/>
        <family val="2"/>
      </rPr>
      <t>P</t>
    </r>
  </si>
  <si>
    <t>Cylinder Thermal Coef.</t>
  </si>
  <si>
    <r>
      <t>a</t>
    </r>
    <r>
      <rPr>
        <vertAlign val="subscript"/>
        <sz val="10"/>
        <rFont val="Arial"/>
        <family val="2"/>
      </rPr>
      <t>C</t>
    </r>
  </si>
  <si>
    <r>
      <t>1</t>
    </r>
    <r>
      <rPr>
        <vertAlign val="superscript"/>
        <sz val="10"/>
        <rFont val="Arial"/>
        <family val="2"/>
      </rPr>
      <t>st</t>
    </r>
    <r>
      <rPr>
        <sz val="11"/>
        <color theme="1"/>
        <rFont val="Calibri"/>
        <family val="2"/>
        <scheme val="minor"/>
      </rPr>
      <t xml:space="preserve"> Order Pressure Coef.</t>
    </r>
  </si>
  <si>
    <r>
      <t>2</t>
    </r>
    <r>
      <rPr>
        <vertAlign val="superscript"/>
        <sz val="10"/>
        <rFont val="Arial"/>
        <family val="2"/>
      </rPr>
      <t>nd</t>
    </r>
    <r>
      <rPr>
        <sz val="11"/>
        <color theme="1"/>
        <rFont val="Calibri"/>
        <family val="2"/>
        <scheme val="minor"/>
      </rPr>
      <t xml:space="preserve"> Order Pressure Coef.</t>
    </r>
  </si>
  <si>
    <r>
      <t>b</t>
    </r>
    <r>
      <rPr>
        <vertAlign val="subscript"/>
        <sz val="10"/>
        <rFont val="Arial"/>
        <family val="2"/>
      </rPr>
      <t>2</t>
    </r>
  </si>
  <si>
    <r>
      <t>A</t>
    </r>
    <r>
      <rPr>
        <vertAlign val="subscript"/>
        <sz val="10"/>
        <rFont val="Arial"/>
        <family val="2"/>
      </rPr>
      <t>o</t>
    </r>
    <r>
      <rPr>
        <sz val="11"/>
        <color theme="1"/>
        <rFont val="Calibri"/>
        <family val="2"/>
        <scheme val="minor"/>
      </rPr>
      <t xml:space="preserve"> Stability (2 yrs)</t>
    </r>
  </si>
  <si>
    <t>Force Terms</t>
  </si>
  <si>
    <t>Mass Load</t>
  </si>
  <si>
    <t>M</t>
  </si>
  <si>
    <t>kg</t>
  </si>
  <si>
    <t>Local Gravity</t>
  </si>
  <si>
    <r>
      <t>g</t>
    </r>
    <r>
      <rPr>
        <vertAlign val="subscript"/>
        <sz val="10"/>
        <rFont val="Arial"/>
        <family val="2"/>
      </rPr>
      <t>L</t>
    </r>
  </si>
  <si>
    <r>
      <t>m/sec</t>
    </r>
    <r>
      <rPr>
        <vertAlign val="superscript"/>
        <sz val="10"/>
        <rFont val="Arial"/>
        <family val="2"/>
      </rPr>
      <t>2</t>
    </r>
  </si>
  <si>
    <t>Air Density</t>
  </si>
  <si>
    <r>
      <t>r</t>
    </r>
    <r>
      <rPr>
        <vertAlign val="subscript"/>
        <sz val="10"/>
        <rFont val="Arial"/>
        <family val="2"/>
      </rPr>
      <t>AIR</t>
    </r>
  </si>
  <si>
    <r>
      <t>kg/m</t>
    </r>
    <r>
      <rPr>
        <vertAlign val="superscript"/>
        <sz val="10"/>
        <rFont val="Arial"/>
        <family val="2"/>
      </rPr>
      <t>3</t>
    </r>
  </si>
  <si>
    <r>
      <t>r</t>
    </r>
    <r>
      <rPr>
        <vertAlign val="subscript"/>
        <sz val="10"/>
        <rFont val="Arial"/>
        <family val="2"/>
      </rPr>
      <t>M</t>
    </r>
  </si>
  <si>
    <r>
      <t>Verticality (</t>
    </r>
    <r>
      <rPr>
        <sz val="10"/>
        <rFont val="Arial"/>
        <family val="2"/>
      </rPr>
      <t>&lt;</t>
    </r>
    <r>
      <rPr>
        <sz val="11"/>
        <color theme="1"/>
        <rFont val="Calibri"/>
        <family val="2"/>
        <scheme val="minor"/>
      </rPr>
      <t>0.5 deg.)</t>
    </r>
  </si>
  <si>
    <t>q</t>
  </si>
  <si>
    <t>deg.</t>
  </si>
  <si>
    <t>System Terms</t>
  </si>
  <si>
    <t>Density of Fluid</t>
  </si>
  <si>
    <r>
      <t>r</t>
    </r>
    <r>
      <rPr>
        <vertAlign val="subscript"/>
        <sz val="10"/>
        <rFont val="Arial"/>
        <family val="2"/>
      </rPr>
      <t>FLUID</t>
    </r>
  </si>
  <si>
    <t>Fluid Head Height</t>
  </si>
  <si>
    <t>h</t>
  </si>
  <si>
    <t>m</t>
  </si>
  <si>
    <t>Float Position</t>
  </si>
  <si>
    <t>fpi</t>
  </si>
  <si>
    <t>Reference Pressure</t>
  </si>
  <si>
    <r>
      <t>P</t>
    </r>
    <r>
      <rPr>
        <vertAlign val="subscript"/>
        <sz val="10"/>
        <rFont val="Arial"/>
        <family val="2"/>
      </rPr>
      <t>REF</t>
    </r>
  </si>
  <si>
    <t>Pa</t>
  </si>
  <si>
    <t>Combined Variance:</t>
  </si>
  <si>
    <t>Combined Uncertainty (k=1):</t>
  </si>
  <si>
    <t>Pressure Value</t>
  </si>
  <si>
    <t>Expanded</t>
  </si>
  <si>
    <t>Limits</t>
  </si>
  <si>
    <t>DOF</t>
  </si>
  <si>
    <t>-----</t>
  </si>
  <si>
    <t>Piston-Cylinder Temp.</t>
  </si>
  <si>
    <t>T</t>
  </si>
  <si>
    <t>°C</t>
  </si>
  <si>
    <r>
      <rPr>
        <sz val="11"/>
        <color theme="1"/>
        <rFont val="Calibri"/>
        <family val="2"/>
        <scheme val="minor"/>
      </rPr>
      <t>°C</t>
    </r>
    <r>
      <rPr>
        <vertAlign val="superscript"/>
        <sz val="10"/>
        <rFont val="Arial"/>
        <family val="2"/>
      </rPr>
      <t>-1</t>
    </r>
  </si>
  <si>
    <t>Performance</t>
  </si>
  <si>
    <t>Mode</t>
  </si>
  <si>
    <t>1 for ABS, 2 for Gauge, 3 for ABS by ATM</t>
  </si>
  <si>
    <t>Barometer</t>
  </si>
  <si>
    <r>
      <t>P</t>
    </r>
    <r>
      <rPr>
        <vertAlign val="subscript"/>
        <sz val="11"/>
        <color theme="1"/>
        <rFont val="Calibri"/>
        <family val="2"/>
        <scheme val="minor"/>
      </rPr>
      <t>baro</t>
    </r>
  </si>
  <si>
    <t>Influence</t>
  </si>
  <si>
    <t>Influence Uncertainties</t>
  </si>
  <si>
    <t>Ambient Pressure</t>
  </si>
  <si>
    <t>Ambient Temperature</t>
  </si>
  <si>
    <t>Ambient Humidity</t>
  </si>
  <si>
    <t>psi</t>
  </si>
  <si>
    <t>ppm</t>
  </si>
  <si>
    <t>(2σ, PPM)</t>
  </si>
  <si>
    <r>
      <t>P</t>
    </r>
    <r>
      <rPr>
        <vertAlign val="subscript"/>
        <sz val="12"/>
        <rFont val="Calibri"/>
        <family val="2"/>
        <scheme val="minor"/>
      </rPr>
      <t>AMB</t>
    </r>
  </si>
  <si>
    <r>
      <t>T</t>
    </r>
    <r>
      <rPr>
        <vertAlign val="subscript"/>
        <sz val="12"/>
        <rFont val="Calibri"/>
        <family val="2"/>
        <scheme val="minor"/>
      </rPr>
      <t>AMB</t>
    </r>
  </si>
  <si>
    <r>
      <t>H</t>
    </r>
    <r>
      <rPr>
        <vertAlign val="subscript"/>
        <sz val="12"/>
        <rFont val="Calibri"/>
        <family val="2"/>
        <scheme val="minor"/>
      </rPr>
      <t>AMB</t>
    </r>
  </si>
  <si>
    <r>
      <t>(T</t>
    </r>
    <r>
      <rPr>
        <vertAlign val="subscript"/>
        <sz val="10"/>
        <rFont val="Arial"/>
        <family val="2"/>
      </rPr>
      <t>MAX</t>
    </r>
    <r>
      <rPr>
        <sz val="11"/>
        <color theme="1"/>
        <rFont val="Calibri"/>
        <family val="2"/>
        <scheme val="minor"/>
      </rPr>
      <t xml:space="preserve"> - T</t>
    </r>
    <r>
      <rPr>
        <vertAlign val="subscript"/>
        <sz val="9.1"/>
        <rFont val="Arial"/>
        <family val="2"/>
      </rPr>
      <t>REF</t>
    </r>
    <r>
      <rPr>
        <sz val="9.1"/>
        <rFont val="Arial"/>
        <family val="2"/>
      </rPr>
      <t>) x P</t>
    </r>
  </si>
  <si>
    <t>Reference Temperature</t>
  </si>
  <si>
    <t>P-C Temperature Max Limit</t>
  </si>
  <si>
    <t>Confidence</t>
  </si>
  <si>
    <t>%</t>
  </si>
  <si>
    <r>
      <t>(α</t>
    </r>
    <r>
      <rPr>
        <vertAlign val="subscript"/>
        <sz val="11"/>
        <color theme="1"/>
        <rFont val="Calibri"/>
        <family val="2"/>
        <scheme val="minor"/>
      </rPr>
      <t>p</t>
    </r>
    <r>
      <rPr>
        <sz val="11"/>
        <color theme="1"/>
        <rFont val="Calibri"/>
        <family val="2"/>
        <scheme val="minor"/>
      </rPr>
      <t>+α</t>
    </r>
    <r>
      <rPr>
        <vertAlign val="subscript"/>
        <sz val="11"/>
        <color theme="1"/>
        <rFont val="Calibri"/>
        <family val="2"/>
        <scheme val="minor"/>
      </rPr>
      <t>c</t>
    </r>
    <r>
      <rPr>
        <sz val="11"/>
        <color theme="1"/>
        <rFont val="Calibri"/>
        <family val="2"/>
        <scheme val="minor"/>
      </rPr>
      <t>) x P</t>
    </r>
  </si>
  <si>
    <t>(Pa)²</t>
  </si>
  <si>
    <t xml:space="preserve">(Pa) </t>
  </si>
  <si>
    <t>Mass Load AVG Density</t>
  </si>
  <si>
    <r>
      <t>A</t>
    </r>
    <r>
      <rPr>
        <vertAlign val="subscript"/>
        <sz val="10"/>
        <rFont val="Arial"/>
        <family val="2"/>
      </rPr>
      <t>o</t>
    </r>
    <r>
      <rPr>
        <vertAlign val="superscript"/>
        <sz val="10"/>
        <rFont val="Arial"/>
        <family val="2"/>
      </rPr>
      <t xml:space="preserve">-1 </t>
    </r>
    <r>
      <rPr>
        <sz val="10"/>
        <rFont val="Arial"/>
        <family val="2"/>
      </rPr>
      <t>x P</t>
    </r>
  </si>
  <si>
    <r>
      <t>Ao</t>
    </r>
    <r>
      <rPr>
        <vertAlign val="superscript"/>
        <sz val="11"/>
        <color theme="1"/>
        <rFont val="Calibri"/>
        <family val="2"/>
        <scheme val="minor"/>
      </rPr>
      <t>-1</t>
    </r>
    <r>
      <rPr>
        <sz val="11"/>
        <color theme="1"/>
        <rFont val="Calibri"/>
        <family val="2"/>
        <scheme val="minor"/>
      </rPr>
      <t xml:space="preserve"> x P</t>
    </r>
  </si>
  <si>
    <r>
      <t>g</t>
    </r>
    <r>
      <rPr>
        <vertAlign val="subscript"/>
        <sz val="10"/>
        <rFont val="Arial"/>
        <family val="2"/>
      </rPr>
      <t>L</t>
    </r>
    <r>
      <rPr>
        <vertAlign val="superscript"/>
        <sz val="10"/>
        <rFont val="Arial"/>
        <family val="2"/>
      </rPr>
      <t xml:space="preserve">-1 </t>
    </r>
    <r>
      <rPr>
        <sz val="10"/>
        <rFont val="Arial"/>
        <family val="2"/>
      </rPr>
      <t>x P</t>
    </r>
  </si>
  <si>
    <r>
      <t>r</t>
    </r>
    <r>
      <rPr>
        <vertAlign val="subscript"/>
        <sz val="10"/>
        <rFont val="Arial"/>
        <family val="2"/>
      </rPr>
      <t>M</t>
    </r>
    <r>
      <rPr>
        <vertAlign val="superscript"/>
        <sz val="10"/>
        <rFont val="Arial"/>
        <family val="2"/>
      </rPr>
      <t xml:space="preserve">-1 </t>
    </r>
    <r>
      <rPr>
        <sz val="10"/>
        <rFont val="Arial"/>
        <family val="2"/>
      </rPr>
      <t>x P</t>
    </r>
  </si>
  <si>
    <t>°C   What temperature is the effective area given</t>
  </si>
  <si>
    <t>Mass Stability</t>
  </si>
  <si>
    <r>
      <t>r</t>
    </r>
    <r>
      <rPr>
        <vertAlign val="subscript"/>
        <sz val="10"/>
        <rFont val="Arial"/>
        <family val="2"/>
      </rPr>
      <t>AIR</t>
    </r>
    <r>
      <rPr>
        <sz val="10"/>
        <rFont val="Arial"/>
        <family val="2"/>
      </rPr>
      <t>/</t>
    </r>
    <r>
      <rPr>
        <sz val="12"/>
        <rFont val="Symbol"/>
        <family val="1"/>
        <charset val="2"/>
      </rPr>
      <t>r</t>
    </r>
    <r>
      <rPr>
        <vertAlign val="subscript"/>
        <sz val="10"/>
        <rFont val="Arial"/>
        <family val="2"/>
      </rPr>
      <t>M</t>
    </r>
    <r>
      <rPr>
        <vertAlign val="superscript"/>
        <sz val="10"/>
        <rFont val="Arial"/>
        <family val="2"/>
      </rPr>
      <t xml:space="preserve">2 </t>
    </r>
    <r>
      <rPr>
        <sz val="10"/>
        <rFont val="Arial"/>
        <family val="2"/>
      </rPr>
      <t>x P</t>
    </r>
  </si>
  <si>
    <t>AMH Lubrication</t>
  </si>
  <si>
    <t>KN (mass to pressure)</t>
  </si>
  <si>
    <t>Pa/kg</t>
  </si>
  <si>
    <t>psi/kg</t>
  </si>
  <si>
    <r>
      <rPr>
        <sz val="11"/>
        <color theme="1"/>
        <rFont val="Symbol"/>
        <family val="1"/>
        <charset val="2"/>
      </rPr>
      <t>l,</t>
    </r>
    <r>
      <rPr>
        <sz val="11"/>
        <color theme="1"/>
        <rFont val="Calibri"/>
        <family val="2"/>
        <scheme val="minor"/>
      </rPr>
      <t>b</t>
    </r>
    <r>
      <rPr>
        <vertAlign val="subscript"/>
        <sz val="10"/>
        <rFont val="Arial"/>
        <family val="2"/>
      </rPr>
      <t>1</t>
    </r>
  </si>
  <si>
    <t>k</t>
  </si>
  <si>
    <t>Coverage</t>
  </si>
  <si>
    <t>Distribution</t>
  </si>
  <si>
    <t>1=normal, 2=rectangular</t>
  </si>
  <si>
    <t>P</t>
  </si>
  <si>
    <t>Type Value</t>
  </si>
  <si>
    <t>Uncertainty Value</t>
  </si>
  <si>
    <t>1=relative(%), 2=constant</t>
  </si>
  <si>
    <t>Uncertainty</t>
  </si>
  <si>
    <t>°C   What is the maximum difference in room temperature and reference temperature</t>
  </si>
  <si>
    <t>1 - COSΦ x P</t>
  </si>
  <si>
    <t>Additional</t>
  </si>
  <si>
    <t>Maximum Head Height</t>
  </si>
  <si>
    <t>inches</t>
  </si>
  <si>
    <t>%RH</t>
  </si>
  <si>
    <t>Surface Tension</t>
  </si>
  <si>
    <t>τ</t>
  </si>
  <si>
    <t>N/m</t>
  </si>
  <si>
    <t>1 for gas, 2 for oil, 3 for water</t>
  </si>
  <si>
    <t>Oil Density</t>
  </si>
  <si>
    <r>
      <t>kg/m</t>
    </r>
    <r>
      <rPr>
        <vertAlign val="superscript"/>
        <sz val="11"/>
        <color theme="1"/>
        <rFont val="Calibri"/>
        <family val="2"/>
        <scheme val="minor"/>
      </rPr>
      <t>3</t>
    </r>
  </si>
  <si>
    <t>Either % or value in unit  2σ or 95%</t>
  </si>
  <si>
    <r>
      <t>A</t>
    </r>
    <r>
      <rPr>
        <vertAlign val="subscript"/>
        <sz val="10"/>
        <rFont val="Arial"/>
        <family val="2"/>
      </rPr>
      <t>o</t>
    </r>
    <r>
      <rPr>
        <sz val="10"/>
        <rFont val="Arial"/>
        <family val="2"/>
      </rPr>
      <t>h/M x P</t>
    </r>
  </si>
  <si>
    <t>Entry Field</t>
  </si>
  <si>
    <t>Not Used</t>
  </si>
  <si>
    <t>Password</t>
  </si>
  <si>
    <t>Fluke</t>
  </si>
  <si>
    <t>System Uncertainty</t>
  </si>
  <si>
    <r>
      <t>πD/A</t>
    </r>
    <r>
      <rPr>
        <vertAlign val="subscript"/>
        <sz val="11"/>
        <rFont val="Calibri"/>
        <family val="2"/>
        <scheme val="minor"/>
      </rPr>
      <t>0</t>
    </r>
  </si>
  <si>
    <r>
      <t>P</t>
    </r>
    <r>
      <rPr>
        <vertAlign val="subscript"/>
        <sz val="11"/>
        <color theme="1"/>
        <rFont val="Calibri"/>
        <family val="2"/>
        <scheme val="minor"/>
      </rPr>
      <t>ABS</t>
    </r>
  </si>
  <si>
    <t>Piston Mass</t>
  </si>
  <si>
    <t>Bell Mass</t>
  </si>
  <si>
    <r>
      <t>g(</t>
    </r>
    <r>
      <rPr>
        <sz val="11"/>
        <color theme="1"/>
        <rFont val="Symbol"/>
        <family val="1"/>
        <charset val="2"/>
      </rPr>
      <t>r</t>
    </r>
    <r>
      <rPr>
        <vertAlign val="subscript"/>
        <sz val="9.9"/>
        <color theme="1"/>
        <rFont val="Calibri"/>
        <family val="2"/>
      </rPr>
      <t>FLUID</t>
    </r>
    <r>
      <rPr>
        <sz val="9.9"/>
        <color theme="1"/>
        <rFont val="Calibri"/>
        <family val="2"/>
      </rPr>
      <t>-</t>
    </r>
    <r>
      <rPr>
        <sz val="9.9"/>
        <color theme="1"/>
        <rFont val="Symbol"/>
        <family val="1"/>
        <charset val="2"/>
      </rPr>
      <t>r</t>
    </r>
    <r>
      <rPr>
        <vertAlign val="subscript"/>
        <sz val="8.9"/>
        <color theme="1"/>
        <rFont val="Calibri"/>
        <family val="2"/>
      </rPr>
      <t>AIR</t>
    </r>
    <r>
      <rPr>
        <sz val="8.9"/>
        <color theme="1"/>
        <rFont val="Calibri"/>
        <family val="2"/>
      </rPr>
      <t>)</t>
    </r>
  </si>
  <si>
    <r>
      <t xml:space="preserve">1.5E-9 </t>
    </r>
    <r>
      <rPr>
        <sz val="11"/>
        <rFont val="Calibri"/>
        <family val="2"/>
        <scheme val="minor"/>
      </rPr>
      <t>x P</t>
    </r>
  </si>
  <si>
    <t>5.5E-7 x P</t>
  </si>
  <si>
    <t>1.2E-8 x P</t>
  </si>
  <si>
    <t>Sensitivity Limit</t>
  </si>
  <si>
    <t>Linearity</t>
  </si>
  <si>
    <t>Date</t>
  </si>
  <si>
    <t>Mass UNC</t>
  </si>
  <si>
    <t>95% (k=2)</t>
  </si>
  <si>
    <t>[g]</t>
  </si>
  <si>
    <t>[ppm]</t>
  </si>
  <si>
    <t>Effective Area Calibration History</t>
  </si>
  <si>
    <t>Effective</t>
  </si>
  <si>
    <t xml:space="preserve">Ae UNC </t>
  </si>
  <si>
    <t>Area (Ae)</t>
  </si>
  <si>
    <r>
      <t>[mm</t>
    </r>
    <r>
      <rPr>
        <b/>
        <vertAlign val="superscript"/>
        <sz val="9"/>
        <rFont val="Arial"/>
        <family val="2"/>
      </rPr>
      <t>2</t>
    </r>
    <r>
      <rPr>
        <b/>
        <sz val="9"/>
        <rFont val="Arial"/>
        <family val="2"/>
      </rPr>
      <t>]</t>
    </r>
  </si>
  <si>
    <t>Due Date</t>
  </si>
  <si>
    <t>PPM</t>
  </si>
  <si>
    <t>Max</t>
  </si>
  <si>
    <t>Mid</t>
  </si>
  <si>
    <t>Min</t>
  </si>
  <si>
    <t>Pressure (Pa)</t>
  </si>
  <si>
    <t>Enter Min P (Pa)</t>
  </si>
  <si>
    <t>Max Pressure Value</t>
  </si>
  <si>
    <t>Revision Number</t>
  </si>
  <si>
    <t>Comments</t>
  </si>
  <si>
    <t>Author</t>
  </si>
  <si>
    <t>Function</t>
  </si>
  <si>
    <t>Initial creation of spreadsheet.</t>
  </si>
  <si>
    <t>Metrologist</t>
  </si>
  <si>
    <t xml:space="preserve"> </t>
  </si>
  <si>
    <t>REVISION LOG:  Piston Gauge Uncertainty Analysis</t>
  </si>
  <si>
    <t>Michael Bair</t>
  </si>
  <si>
    <t xml:space="preserve">Days </t>
  </si>
  <si>
    <t>key</t>
  </si>
  <si>
    <t>psi to Pa conv.</t>
  </si>
  <si>
    <r>
      <t>A</t>
    </r>
    <r>
      <rPr>
        <vertAlign val="subscript"/>
        <sz val="10"/>
        <rFont val="Arial"/>
        <family val="2"/>
      </rPr>
      <t>o</t>
    </r>
    <r>
      <rPr>
        <sz val="11"/>
        <color theme="1"/>
        <rFont val="Calibri"/>
        <family val="2"/>
        <scheme val="minor"/>
      </rPr>
      <t xml:space="preserve"> Stability</t>
    </r>
  </si>
  <si>
    <t>Sensitivity/Performance</t>
  </si>
  <si>
    <r>
      <t>A</t>
    </r>
    <r>
      <rPr>
        <vertAlign val="subscript"/>
        <sz val="10"/>
        <rFont val="Arial"/>
        <family val="2"/>
      </rPr>
      <t>E(Tref,0)</t>
    </r>
  </si>
  <si>
    <t>1 for gas, 2 for oil, 3 for water (must be 1 if mode is 1)</t>
  </si>
  <si>
    <t>°C   What is the maximum difference in p-c temperature and reference temperature</t>
  </si>
  <si>
    <r>
      <t>P</t>
    </r>
    <r>
      <rPr>
        <vertAlign val="superscript"/>
        <sz val="11"/>
        <color theme="1"/>
        <rFont val="Calibri"/>
        <family val="2"/>
        <scheme val="minor"/>
      </rPr>
      <t>2</t>
    </r>
  </si>
  <si>
    <r>
      <t>P</t>
    </r>
    <r>
      <rPr>
        <vertAlign val="superscript"/>
        <sz val="11"/>
        <color theme="1"/>
        <rFont val="Calibri"/>
        <family val="2"/>
        <scheme val="minor"/>
      </rPr>
      <t>3</t>
    </r>
  </si>
  <si>
    <t>gl/Ae</t>
  </si>
  <si>
    <r>
      <t>MPa</t>
    </r>
    <r>
      <rPr>
        <vertAlign val="superscript"/>
        <sz val="10"/>
        <rFont val="Arial"/>
        <family val="2"/>
      </rPr>
      <t>-1</t>
    </r>
  </si>
  <si>
    <r>
      <t>MPa</t>
    </r>
    <r>
      <rPr>
        <vertAlign val="superscript"/>
        <sz val="10"/>
        <rFont val="Arial"/>
        <family val="2"/>
      </rPr>
      <t>-2</t>
    </r>
  </si>
  <si>
    <t xml:space="preserve">This Spreadsheet is provided at no cost and was developed primarily as a learning tool.  Fluke Corporation does not guarantee the correctness of the calculations here and does not claim any responsibility for its use.  For questions or comments on this spreadsheet please contact Mike Bair at mike.bair@flukecal.com.  </t>
  </si>
  <si>
    <t>Sum Square of Calibration Time</t>
  </si>
  <si>
    <t>Sum of calibration time squared</t>
  </si>
  <si>
    <t>Number of Cals</t>
  </si>
  <si>
    <t>Computation of Sxx</t>
  </si>
  <si>
    <t>Mean calibration time</t>
  </si>
  <si>
    <t>Number of days from last Cal</t>
  </si>
  <si>
    <t>Days Until Due Date</t>
  </si>
  <si>
    <t>Standard Error of the Fit</t>
  </si>
  <si>
    <t>Y intercept</t>
  </si>
  <si>
    <t>Aging Rate/ mm^2/day</t>
  </si>
  <si>
    <t>Pred. Value</t>
  </si>
  <si>
    <t>Upper bound</t>
  </si>
  <si>
    <t>Lwr bound</t>
  </si>
  <si>
    <t>Confidence based on todays date and next cal date</t>
  </si>
  <si>
    <r>
      <t>[g</t>
    </r>
    <r>
      <rPr>
        <b/>
        <sz val="9"/>
        <rFont val="Arial"/>
        <family val="2"/>
      </rPr>
      <t>]</t>
    </r>
  </si>
  <si>
    <t>Aging Rate/ grams/day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</si>
</sst>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0.000E+00"/>
    <numFmt numFmtId="165" formatCode="0.0E+00"/>
    <numFmt numFmtId="166" formatCode="0.0"/>
    <numFmt numFmtId="167" formatCode="0.0000%"/>
    <numFmt numFmtId="168" formatCode="0.000"/>
    <numFmt numFmtId="169" formatCode="0.0000"/>
    <numFmt numFmtId="170" formatCode="0.0000000"/>
    <numFmt numFmtId="171" formatCode="0.00000"/>
    <numFmt numFmtId="172" formatCode="0.000000"/>
    <numFmt numFmtId="173" formatCode="0.0_)"/>
    <numFmt numFmtId="174" formatCode="#000"/>
  </numFmts>
  <fonts count="43" x14ac:knownFonts="1">
    <font>
      <sz val="11"/>
      <color theme="1"/>
      <name val="Calibri"/>
      <family val="2"/>
      <scheme val="minor"/>
    </font>
    <font>
      <b/>
      <sz val="11"/>
      <color theme="1"/>
      <name val="Calibri"/>
      <family val="2"/>
      <scheme val="minor"/>
    </font>
    <font>
      <b/>
      <sz val="10"/>
      <name val="Arial"/>
      <family val="2"/>
    </font>
    <font>
      <b/>
      <sz val="10"/>
      <name val="Symbol"/>
      <family val="1"/>
      <charset val="2"/>
    </font>
    <font>
      <b/>
      <sz val="10"/>
      <color indexed="10"/>
      <name val="Arial"/>
      <family val="2"/>
    </font>
    <font>
      <sz val="10"/>
      <name val="Arial"/>
      <family val="2"/>
    </font>
    <font>
      <vertAlign val="subscript"/>
      <sz val="10"/>
      <name val="Arial"/>
      <family val="2"/>
    </font>
    <font>
      <vertAlign val="superscript"/>
      <sz val="10"/>
      <name val="Arial"/>
      <family val="2"/>
    </font>
    <font>
      <sz val="10"/>
      <name val="Symbol"/>
      <family val="1"/>
      <charset val="2"/>
    </font>
    <font>
      <vertAlign val="subscript"/>
      <sz val="9.1"/>
      <name val="Arial"/>
      <family val="2"/>
    </font>
    <font>
      <sz val="12"/>
      <name val="Symbol"/>
      <family val="1"/>
      <charset val="2"/>
    </font>
    <font>
      <vertAlign val="subscript"/>
      <sz val="11"/>
      <color theme="1"/>
      <name val="Calibri"/>
      <family val="2"/>
      <scheme val="minor"/>
    </font>
    <font>
      <sz val="12"/>
      <name val="Calibri"/>
      <family val="2"/>
      <scheme val="minor"/>
    </font>
    <font>
      <vertAlign val="subscript"/>
      <sz val="12"/>
      <name val="Calibri"/>
      <family val="2"/>
      <scheme val="minor"/>
    </font>
    <font>
      <sz val="9.1"/>
      <name val="Arial"/>
      <family val="2"/>
    </font>
    <font>
      <b/>
      <sz val="10"/>
      <name val="Calibri"/>
      <family val="2"/>
      <scheme val="minor"/>
    </font>
    <font>
      <vertAlign val="superscript"/>
      <sz val="11"/>
      <color theme="1"/>
      <name val="Calibri"/>
      <family val="2"/>
      <scheme val="minor"/>
    </font>
    <font>
      <sz val="11"/>
      <color theme="1"/>
      <name val="Symbol"/>
      <family val="1"/>
      <charset val="2"/>
    </font>
    <font>
      <sz val="11"/>
      <color theme="1"/>
      <name val="Calibri"/>
      <family val="2"/>
      <scheme val="minor"/>
    </font>
    <font>
      <sz val="11"/>
      <name val="Calibri"/>
      <family val="2"/>
      <scheme val="minor"/>
    </font>
    <font>
      <b/>
      <sz val="11"/>
      <name val="Calibri"/>
      <family val="2"/>
      <scheme val="minor"/>
    </font>
    <font>
      <b/>
      <sz val="11"/>
      <color indexed="10"/>
      <name val="Calibri"/>
      <family val="2"/>
      <scheme val="minor"/>
    </font>
    <font>
      <b/>
      <sz val="10"/>
      <color theme="0"/>
      <name val="Arial"/>
      <family val="2"/>
    </font>
    <font>
      <vertAlign val="subscript"/>
      <sz val="11"/>
      <name val="Calibri"/>
      <family val="2"/>
      <scheme val="minor"/>
    </font>
    <font>
      <sz val="9.9"/>
      <color theme="1"/>
      <name val="Calibri"/>
      <family val="2"/>
    </font>
    <font>
      <sz val="9.9"/>
      <color theme="1"/>
      <name val="Symbol"/>
      <family val="1"/>
      <charset val="2"/>
    </font>
    <font>
      <sz val="8.9"/>
      <color theme="1"/>
      <name val="Calibri"/>
      <family val="2"/>
    </font>
    <font>
      <vertAlign val="subscript"/>
      <sz val="8.9"/>
      <color theme="1"/>
      <name val="Calibri"/>
      <family val="2"/>
    </font>
    <font>
      <vertAlign val="subscript"/>
      <sz val="9.9"/>
      <color theme="1"/>
      <name val="Calibri"/>
      <family val="2"/>
    </font>
    <font>
      <sz val="10"/>
      <name val="Times New Roman"/>
      <family val="1"/>
    </font>
    <font>
      <b/>
      <sz val="9"/>
      <name val="Arial"/>
      <family val="2"/>
    </font>
    <font>
      <sz val="9"/>
      <name val="Arial"/>
      <family val="2"/>
    </font>
    <font>
      <b/>
      <sz val="10"/>
      <name val="Times New Roman"/>
      <family val="1"/>
    </font>
    <font>
      <b/>
      <vertAlign val="superscript"/>
      <sz val="9"/>
      <name val="Arial"/>
      <family val="2"/>
    </font>
    <font>
      <sz val="12"/>
      <color theme="1"/>
      <name val="Calibri"/>
      <family val="2"/>
      <scheme val="minor"/>
    </font>
    <font>
      <b/>
      <sz val="18"/>
      <name val="Times New Roman"/>
      <family val="1"/>
    </font>
    <font>
      <sz val="18"/>
      <name val="Times New Roman"/>
      <family val="1"/>
    </font>
    <font>
      <b/>
      <sz val="14"/>
      <name val="Times New Roman"/>
      <family val="1"/>
    </font>
    <font>
      <sz val="12"/>
      <name val="Times New Roman"/>
      <family val="1"/>
    </font>
    <font>
      <sz val="14"/>
      <color theme="1"/>
      <name val="Calibri"/>
      <family val="2"/>
      <scheme val="minor"/>
    </font>
    <font>
      <b/>
      <sz val="14"/>
      <color rgb="FFFF0000"/>
      <name val="Calibri"/>
      <family val="2"/>
      <scheme val="minor"/>
    </font>
    <font>
      <b/>
      <sz val="9"/>
      <color indexed="81"/>
      <name val="Tahoma"/>
      <family val="2"/>
    </font>
    <font>
      <b/>
      <sz val="14"/>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1" tint="0.499984740745262"/>
        <bgColor indexed="64"/>
      </patternFill>
    </fill>
    <fill>
      <patternFill patternType="lightUp"/>
    </fill>
    <fill>
      <patternFill patternType="solid">
        <fgColor indexed="22"/>
        <bgColor indexed="64"/>
      </patternFill>
    </fill>
    <fill>
      <patternFill patternType="solid">
        <fgColor rgb="FF92D050"/>
        <bgColor indexed="64"/>
      </patternFill>
    </fill>
  </fills>
  <borders count="4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11">
    <xf numFmtId="0" fontId="0" fillId="0" borderId="0"/>
    <xf numFmtId="9" fontId="18" fillId="0" borderId="0" applyFont="0" applyFill="0" applyBorder="0" applyAlignment="0" applyProtection="0"/>
    <xf numFmtId="0" fontId="29" fillId="0" borderId="0"/>
    <xf numFmtId="0" fontId="5" fillId="0" borderId="0"/>
    <xf numFmtId="0" fontId="18" fillId="0" borderId="0"/>
    <xf numFmtId="0" fontId="18" fillId="0" borderId="0"/>
    <xf numFmtId="0" fontId="18" fillId="0" borderId="0"/>
    <xf numFmtId="0" fontId="18" fillId="0" borderId="0"/>
    <xf numFmtId="0" fontId="18" fillId="0" borderId="0"/>
    <xf numFmtId="9" fontId="29" fillId="0" borderId="0" applyFont="0" applyFill="0" applyBorder="0" applyAlignment="0" applyProtection="0"/>
    <xf numFmtId="9" fontId="29" fillId="0" borderId="0" applyFont="0" applyFill="0" applyBorder="0" applyAlignment="0" applyProtection="0"/>
  </cellStyleXfs>
  <cellXfs count="287">
    <xf numFmtId="0" fontId="0" fillId="0" borderId="0" xfId="0"/>
    <xf numFmtId="0" fontId="0" fillId="0" borderId="0" xfId="0" applyProtection="1"/>
    <xf numFmtId="0" fontId="2" fillId="0" borderId="22" xfId="0" applyFont="1" applyBorder="1" applyAlignment="1" applyProtection="1">
      <alignment vertical="center"/>
    </xf>
    <xf numFmtId="0" fontId="0" fillId="0" borderId="23" xfId="0" applyBorder="1" applyAlignment="1" applyProtection="1">
      <alignment vertical="center"/>
    </xf>
    <xf numFmtId="0" fontId="0" fillId="0" borderId="23" xfId="0" applyBorder="1" applyAlignment="1" applyProtection="1">
      <alignment horizontal="center" vertical="center"/>
    </xf>
    <xf numFmtId="0" fontId="0" fillId="0" borderId="28" xfId="0" applyBorder="1" applyAlignment="1" applyProtection="1">
      <alignment horizontal="center" vertical="center"/>
    </xf>
    <xf numFmtId="0" fontId="0" fillId="0" borderId="23" xfId="0" applyBorder="1" applyProtection="1"/>
    <xf numFmtId="1" fontId="0" fillId="0" borderId="23" xfId="0" applyNumberFormat="1" applyBorder="1" applyProtection="1"/>
    <xf numFmtId="0" fontId="0" fillId="0" borderId="28" xfId="0" applyBorder="1" applyProtection="1"/>
    <xf numFmtId="0" fontId="2" fillId="0" borderId="24" xfId="0" applyFont="1" applyBorder="1" applyAlignment="1" applyProtection="1">
      <alignment vertical="center"/>
    </xf>
    <xf numFmtId="0" fontId="0" fillId="0" borderId="0" xfId="0" applyBorder="1" applyAlignment="1" applyProtection="1">
      <alignment vertical="center"/>
    </xf>
    <xf numFmtId="0" fontId="0" fillId="0" borderId="0" xfId="0" applyBorder="1" applyAlignment="1" applyProtection="1">
      <alignment horizontal="center" vertical="center"/>
    </xf>
    <xf numFmtId="0" fontId="0" fillId="0" borderId="29" xfId="0" applyBorder="1" applyAlignment="1" applyProtection="1">
      <alignment horizontal="center" vertical="center"/>
    </xf>
    <xf numFmtId="0" fontId="0" fillId="0" borderId="0" xfId="0" applyBorder="1" applyProtection="1"/>
    <xf numFmtId="0" fontId="0" fillId="0" borderId="29" xfId="0" applyBorder="1" applyProtection="1"/>
    <xf numFmtId="0" fontId="1" fillId="0" borderId="24" xfId="0" applyFont="1" applyBorder="1" applyProtection="1"/>
    <xf numFmtId="0" fontId="0" fillId="2" borderId="11" xfId="0" applyFill="1" applyBorder="1" applyProtection="1"/>
    <xf numFmtId="0" fontId="0" fillId="4" borderId="11" xfId="0" applyFill="1" applyBorder="1" applyProtection="1"/>
    <xf numFmtId="165" fontId="0" fillId="0" borderId="0" xfId="0" applyNumberFormat="1" applyBorder="1" applyProtection="1"/>
    <xf numFmtId="0" fontId="1" fillId="0" borderId="25" xfId="0" applyFont="1" applyBorder="1" applyProtection="1"/>
    <xf numFmtId="0" fontId="0" fillId="0" borderId="26" xfId="0" applyBorder="1" applyProtection="1"/>
    <xf numFmtId="0" fontId="0" fillId="0" borderId="30" xfId="0" applyBorder="1" applyProtection="1"/>
    <xf numFmtId="1" fontId="0" fillId="0" borderId="26" xfId="0" applyNumberFormat="1" applyBorder="1" applyProtection="1"/>
    <xf numFmtId="0" fontId="2" fillId="0" borderId="4"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36" xfId="0" applyFont="1" applyBorder="1" applyAlignment="1" applyProtection="1">
      <alignment horizontal="center" vertical="center"/>
    </xf>
    <xf numFmtId="1" fontId="2" fillId="0" borderId="5" xfId="0" applyNumberFormat="1" applyFont="1" applyBorder="1" applyAlignment="1" applyProtection="1">
      <alignment horizontal="center" vertical="center"/>
    </xf>
    <xf numFmtId="0" fontId="2" fillId="0" borderId="36" xfId="0" applyFont="1" applyBorder="1" applyAlignment="1" applyProtection="1">
      <alignment horizontal="center" vertical="center" wrapText="1"/>
    </xf>
    <xf numFmtId="0" fontId="15" fillId="0" borderId="5" xfId="0" applyFont="1" applyBorder="1" applyAlignment="1" applyProtection="1">
      <alignment horizontal="center" vertical="center"/>
    </xf>
    <xf numFmtId="1" fontId="2" fillId="0" borderId="5" xfId="0" quotePrefix="1" applyNumberFormat="1" applyFont="1" applyBorder="1" applyAlignment="1" applyProtection="1">
      <alignment horizontal="center" vertical="center"/>
    </xf>
    <xf numFmtId="0" fontId="0" fillId="0" borderId="7" xfId="0" applyBorder="1" applyAlignment="1" applyProtection="1">
      <alignment horizontal="center" vertical="center"/>
    </xf>
    <xf numFmtId="0" fontId="5" fillId="0" borderId="8" xfId="0" applyFont="1" applyBorder="1" applyAlignment="1" applyProtection="1">
      <alignment horizontal="center" vertical="center"/>
    </xf>
    <xf numFmtId="0" fontId="5" fillId="0" borderId="9" xfId="0" applyFont="1" applyBorder="1" applyAlignment="1" applyProtection="1">
      <alignment horizontal="center" vertical="center"/>
    </xf>
    <xf numFmtId="0" fontId="19" fillId="0" borderId="31" xfId="0" applyFont="1" applyBorder="1" applyAlignment="1" applyProtection="1">
      <alignment horizontal="left" vertical="center"/>
    </xf>
    <xf numFmtId="11" fontId="0" fillId="0" borderId="8" xfId="0" applyNumberFormat="1" applyBorder="1" applyAlignment="1" applyProtection="1">
      <alignment horizontal="center" vertical="center"/>
    </xf>
    <xf numFmtId="11" fontId="0" fillId="0" borderId="9" xfId="0" applyNumberFormat="1" applyBorder="1" applyAlignment="1" applyProtection="1">
      <alignment horizontal="center" vertical="center"/>
    </xf>
    <xf numFmtId="165" fontId="0" fillId="0" borderId="8" xfId="0" applyNumberFormat="1" applyBorder="1" applyAlignment="1" applyProtection="1">
      <alignment horizontal="center" vertical="center"/>
    </xf>
    <xf numFmtId="2" fontId="0" fillId="0" borderId="9" xfId="0" applyNumberFormat="1" applyBorder="1" applyAlignment="1" applyProtection="1">
      <alignment horizontal="center" vertical="center"/>
    </xf>
    <xf numFmtId="0" fontId="0" fillId="0" borderId="10" xfId="0" applyBorder="1" applyAlignment="1" applyProtection="1">
      <alignment horizontal="center" vertical="center"/>
    </xf>
    <xf numFmtId="0" fontId="8" fillId="0" borderId="11" xfId="0" applyFont="1" applyBorder="1" applyAlignment="1" applyProtection="1">
      <alignment horizontal="center" vertical="center"/>
    </xf>
    <xf numFmtId="0" fontId="7" fillId="0" borderId="12" xfId="0" applyFont="1" applyBorder="1" applyAlignment="1" applyProtection="1">
      <alignment horizontal="center" vertical="center"/>
    </xf>
    <xf numFmtId="0" fontId="19" fillId="0" borderId="32" xfId="0" applyFont="1" applyBorder="1" applyAlignment="1" applyProtection="1">
      <alignment horizontal="left" vertical="center"/>
    </xf>
    <xf numFmtId="11" fontId="0" fillId="0" borderId="11" xfId="0" applyNumberFormat="1" applyBorder="1" applyAlignment="1" applyProtection="1">
      <alignment horizontal="center" vertical="center"/>
    </xf>
    <xf numFmtId="11" fontId="0" fillId="0" borderId="12" xfId="0" applyNumberFormat="1" applyBorder="1" applyAlignment="1" applyProtection="1">
      <alignment horizontal="center" vertical="center"/>
    </xf>
    <xf numFmtId="165" fontId="0" fillId="0" borderId="11" xfId="0" applyNumberFormat="1" applyBorder="1" applyAlignment="1" applyProtection="1">
      <alignment horizontal="center" vertical="center"/>
    </xf>
    <xf numFmtId="2" fontId="0" fillId="0" borderId="12" xfId="0" applyNumberFormat="1" applyBorder="1" applyAlignment="1" applyProtection="1">
      <alignment horizontal="center" vertical="center"/>
    </xf>
    <xf numFmtId="0" fontId="19" fillId="0" borderId="11" xfId="0" applyFont="1" applyBorder="1" applyAlignment="1" applyProtection="1">
      <alignment horizontal="center" vertical="center"/>
    </xf>
    <xf numFmtId="0" fontId="5" fillId="0" borderId="12" xfId="0" applyFont="1" applyBorder="1" applyAlignment="1" applyProtection="1">
      <alignment horizontal="center" vertical="center"/>
    </xf>
    <xf numFmtId="0" fontId="0" fillId="0" borderId="11" xfId="0" applyBorder="1" applyAlignment="1" applyProtection="1">
      <alignment horizontal="center" vertical="center"/>
    </xf>
    <xf numFmtId="0" fontId="0" fillId="0" borderId="12" xfId="0" applyBorder="1" applyAlignment="1" applyProtection="1">
      <alignment horizontal="center" vertical="center"/>
    </xf>
    <xf numFmtId="0" fontId="10" fillId="0" borderId="11" xfId="0" applyFont="1" applyBorder="1" applyAlignment="1" applyProtection="1">
      <alignment horizontal="center" vertical="center"/>
    </xf>
    <xf numFmtId="0" fontId="0" fillId="0" borderId="13" xfId="0" applyBorder="1" applyAlignment="1" applyProtection="1">
      <alignment horizontal="center" vertical="center"/>
    </xf>
    <xf numFmtId="0" fontId="0" fillId="0" borderId="14" xfId="0" applyBorder="1" applyAlignment="1" applyProtection="1">
      <alignment horizontal="center" vertical="center"/>
    </xf>
    <xf numFmtId="0" fontId="0" fillId="0" borderId="15" xfId="0" applyBorder="1" applyAlignment="1" applyProtection="1">
      <alignment horizontal="center" vertical="center"/>
    </xf>
    <xf numFmtId="0" fontId="0" fillId="0" borderId="33" xfId="0" applyFont="1" applyBorder="1" applyAlignment="1" applyProtection="1">
      <alignment horizontal="left" vertical="center"/>
    </xf>
    <xf numFmtId="11" fontId="0" fillId="0" borderId="14" xfId="0" applyNumberFormat="1" applyBorder="1" applyAlignment="1" applyProtection="1">
      <alignment horizontal="center" vertical="center"/>
    </xf>
    <xf numFmtId="11" fontId="0" fillId="0" borderId="15" xfId="0" applyNumberFormat="1" applyBorder="1" applyAlignment="1" applyProtection="1">
      <alignment horizontal="center" vertical="center"/>
    </xf>
    <xf numFmtId="165" fontId="0" fillId="0" borderId="14" xfId="0" applyNumberFormat="1" applyBorder="1" applyAlignment="1" applyProtection="1">
      <alignment horizontal="center" vertical="center"/>
    </xf>
    <xf numFmtId="2" fontId="0" fillId="0" borderId="15" xfId="0" applyNumberFormat="1" applyBorder="1" applyAlignment="1" applyProtection="1">
      <alignment horizontal="center" vertical="center"/>
    </xf>
    <xf numFmtId="0" fontId="0" fillId="0" borderId="16" xfId="0" applyBorder="1" applyAlignment="1" applyProtection="1">
      <alignment horizontal="center" vertical="center"/>
    </xf>
    <xf numFmtId="0" fontId="5" fillId="0" borderId="17" xfId="0" applyFont="1" applyBorder="1" applyAlignment="1" applyProtection="1">
      <alignment horizontal="center" vertical="center"/>
    </xf>
    <xf numFmtId="164" fontId="0" fillId="0" borderId="17" xfId="0" applyNumberFormat="1" applyBorder="1" applyAlignment="1" applyProtection="1">
      <alignment horizontal="center" vertical="center"/>
    </xf>
    <xf numFmtId="0" fontId="5" fillId="0" borderId="18" xfId="0" applyFont="1" applyBorder="1" applyAlignment="1" applyProtection="1">
      <alignment horizontal="center" vertical="center"/>
    </xf>
    <xf numFmtId="11" fontId="0" fillId="0" borderId="18" xfId="0" applyNumberFormat="1" applyBorder="1" applyAlignment="1" applyProtection="1">
      <alignment horizontal="center" vertical="center"/>
    </xf>
    <xf numFmtId="0" fontId="0" fillId="0" borderId="27" xfId="0" applyBorder="1" applyAlignment="1" applyProtection="1">
      <alignment horizontal="center" vertical="center"/>
    </xf>
    <xf numFmtId="11" fontId="0" fillId="0" borderId="17" xfId="0" applyNumberFormat="1" applyBorder="1" applyAlignment="1" applyProtection="1">
      <alignment horizontal="center" vertical="center"/>
    </xf>
    <xf numFmtId="164" fontId="0" fillId="0" borderId="11" xfId="0" applyNumberFormat="1" applyBorder="1" applyAlignment="1" applyProtection="1">
      <alignment horizontal="center" vertical="center"/>
    </xf>
    <xf numFmtId="0" fontId="10" fillId="0" borderId="10" xfId="0" applyFont="1" applyBorder="1" applyAlignment="1" applyProtection="1">
      <alignment horizontal="center" vertical="center"/>
    </xf>
    <xf numFmtId="0" fontId="12" fillId="0" borderId="11" xfId="0" applyFont="1" applyBorder="1" applyAlignment="1" applyProtection="1">
      <alignment horizontal="center" vertical="center"/>
    </xf>
    <xf numFmtId="0" fontId="0" fillId="0" borderId="32" xfId="0" applyFont="1" applyBorder="1" applyAlignment="1" applyProtection="1">
      <alignment horizontal="left" vertical="center"/>
    </xf>
    <xf numFmtId="0" fontId="0" fillId="0" borderId="19" xfId="0" applyBorder="1" applyAlignment="1" applyProtection="1">
      <alignment horizontal="center" vertical="center"/>
    </xf>
    <xf numFmtId="0" fontId="12" fillId="0" borderId="20" xfId="0" applyFont="1" applyBorder="1" applyAlignment="1" applyProtection="1">
      <alignment horizontal="center" vertical="center"/>
    </xf>
    <xf numFmtId="0" fontId="0" fillId="0" borderId="21" xfId="0" applyBorder="1" applyAlignment="1" applyProtection="1">
      <alignment horizontal="center" vertical="center"/>
    </xf>
    <xf numFmtId="11" fontId="0" fillId="0" borderId="20" xfId="0" applyNumberFormat="1" applyBorder="1" applyAlignment="1" applyProtection="1">
      <alignment horizontal="center" vertical="center"/>
    </xf>
    <xf numFmtId="165" fontId="0" fillId="0" borderId="20" xfId="0" applyNumberFormat="1" applyBorder="1" applyAlignment="1" applyProtection="1">
      <alignment horizontal="center" vertical="center"/>
    </xf>
    <xf numFmtId="2" fontId="0" fillId="0" borderId="21" xfId="0" applyNumberFormat="1" applyBorder="1" applyAlignment="1" applyProtection="1">
      <alignment horizontal="center" vertical="center"/>
    </xf>
    <xf numFmtId="0" fontId="8" fillId="0" borderId="14" xfId="0" applyFont="1" applyBorder="1" applyAlignment="1" applyProtection="1">
      <alignment horizontal="center" vertical="center"/>
    </xf>
    <xf numFmtId="0" fontId="0" fillId="0" borderId="31" xfId="0" applyFont="1" applyBorder="1" applyAlignment="1" applyProtection="1">
      <alignment horizontal="left" vertical="center"/>
    </xf>
    <xf numFmtId="0" fontId="19" fillId="0" borderId="20" xfId="0" applyFont="1" applyBorder="1" applyAlignment="1" applyProtection="1">
      <alignment horizontal="center" vertical="center"/>
    </xf>
    <xf numFmtId="0" fontId="0" fillId="0" borderId="35" xfId="0" applyFont="1" applyBorder="1" applyAlignment="1" applyProtection="1">
      <alignment horizontal="left" vertical="center"/>
    </xf>
    <xf numFmtId="11" fontId="0" fillId="0" borderId="21" xfId="0" applyNumberFormat="1" applyBorder="1" applyAlignment="1" applyProtection="1">
      <alignment horizontal="center" vertical="center"/>
    </xf>
    <xf numFmtId="0" fontId="2" fillId="0" borderId="23" xfId="0" applyFont="1" applyBorder="1" applyAlignment="1" applyProtection="1">
      <alignment vertical="center"/>
    </xf>
    <xf numFmtId="0" fontId="0" fillId="0" borderId="23" xfId="0" applyBorder="1" applyAlignment="1" applyProtection="1">
      <alignment horizontal="right" vertical="center"/>
    </xf>
    <xf numFmtId="0" fontId="0" fillId="0" borderId="22" xfId="0" applyBorder="1" applyAlignment="1" applyProtection="1">
      <alignment vertical="center"/>
    </xf>
    <xf numFmtId="164" fontId="0" fillId="0" borderId="23" xfId="0" applyNumberFormat="1" applyBorder="1" applyAlignment="1" applyProtection="1">
      <alignment horizontal="right" vertical="center"/>
    </xf>
    <xf numFmtId="2" fontId="0" fillId="0" borderId="23" xfId="0" applyNumberFormat="1" applyBorder="1" applyAlignment="1" applyProtection="1">
      <alignment horizontal="center" vertical="center"/>
    </xf>
    <xf numFmtId="1" fontId="0" fillId="0" borderId="28" xfId="0" applyNumberFormat="1" applyBorder="1" applyProtection="1"/>
    <xf numFmtId="164" fontId="0" fillId="0" borderId="28" xfId="0" applyNumberFormat="1" applyBorder="1" applyAlignment="1" applyProtection="1">
      <alignment horizontal="center" vertical="center"/>
    </xf>
    <xf numFmtId="0" fontId="0" fillId="0" borderId="0" xfId="0" applyBorder="1" applyAlignment="1" applyProtection="1">
      <alignment horizontal="right" vertical="center"/>
    </xf>
    <xf numFmtId="0" fontId="0" fillId="0" borderId="24" xfId="0" applyBorder="1" applyAlignment="1" applyProtection="1">
      <alignment vertical="center"/>
    </xf>
    <xf numFmtId="2" fontId="0" fillId="0" borderId="0" xfId="0" applyNumberFormat="1" applyBorder="1" applyAlignment="1" applyProtection="1">
      <alignment horizontal="center" vertical="center"/>
    </xf>
    <xf numFmtId="1" fontId="0" fillId="0" borderId="29" xfId="0" applyNumberFormat="1" applyBorder="1" applyProtection="1"/>
    <xf numFmtId="2" fontId="0" fillId="0" borderId="29" xfId="0" applyNumberFormat="1" applyBorder="1" applyAlignment="1" applyProtection="1">
      <alignment horizontal="center" vertical="center"/>
    </xf>
    <xf numFmtId="0" fontId="2" fillId="0" borderId="0" xfId="0" applyFont="1" applyBorder="1" applyAlignment="1" applyProtection="1">
      <alignment horizontal="right" vertical="center"/>
    </xf>
    <xf numFmtId="165" fontId="2" fillId="0" borderId="0" xfId="0" applyNumberFormat="1" applyFont="1" applyBorder="1" applyAlignment="1" applyProtection="1">
      <alignment horizontal="center" vertical="center"/>
    </xf>
    <xf numFmtId="166" fontId="0" fillId="0" borderId="30" xfId="0" applyNumberFormat="1" applyBorder="1" applyAlignment="1" applyProtection="1">
      <alignment horizontal="center" vertical="center"/>
    </xf>
    <xf numFmtId="0" fontId="0" fillId="0" borderId="25" xfId="0" applyBorder="1" applyProtection="1"/>
    <xf numFmtId="0" fontId="1" fillId="0" borderId="26" xfId="0" applyFont="1" applyBorder="1" applyAlignment="1" applyProtection="1">
      <alignment horizontal="right"/>
    </xf>
    <xf numFmtId="165" fontId="2" fillId="0" borderId="26" xfId="0" applyNumberFormat="1" applyFont="1" applyBorder="1" applyAlignment="1" applyProtection="1">
      <alignment horizontal="center" vertical="center"/>
    </xf>
    <xf numFmtId="1" fontId="0" fillId="0" borderId="30" xfId="0" applyNumberFormat="1" applyBorder="1" applyProtection="1"/>
    <xf numFmtId="0" fontId="1" fillId="0" borderId="0" xfId="0" applyFont="1" applyProtection="1"/>
    <xf numFmtId="1" fontId="0" fillId="0" borderId="0" xfId="0" applyNumberFormat="1" applyProtection="1"/>
    <xf numFmtId="0" fontId="2" fillId="3" borderId="1" xfId="0" applyFont="1" applyFill="1" applyBorder="1" applyAlignment="1" applyProtection="1">
      <alignment horizontal="center" vertical="center"/>
    </xf>
    <xf numFmtId="0" fontId="2" fillId="3" borderId="2" xfId="0" applyFont="1" applyFill="1" applyBorder="1" applyAlignment="1" applyProtection="1">
      <alignment horizontal="center" vertical="center"/>
    </xf>
    <xf numFmtId="0" fontId="4" fillId="3" borderId="2" xfId="0" applyFont="1" applyFill="1" applyBorder="1" applyAlignment="1" applyProtection="1">
      <alignment horizontal="center" vertical="center"/>
    </xf>
    <xf numFmtId="0" fontId="0" fillId="3" borderId="3" xfId="0" applyFill="1" applyBorder="1" applyAlignment="1" applyProtection="1">
      <alignment horizontal="center" vertical="center"/>
    </xf>
    <xf numFmtId="0" fontId="0" fillId="3" borderId="1" xfId="0" quotePrefix="1" applyFill="1" applyBorder="1" applyAlignment="1" applyProtection="1">
      <alignment horizontal="center" vertical="center"/>
    </xf>
    <xf numFmtId="164" fontId="0" fillId="3" borderId="2" xfId="0" quotePrefix="1" applyNumberFormat="1" applyFill="1" applyBorder="1" applyAlignment="1" applyProtection="1">
      <alignment horizontal="center" vertical="center"/>
    </xf>
    <xf numFmtId="1" fontId="0" fillId="3" borderId="2" xfId="0" quotePrefix="1" applyNumberFormat="1" applyFill="1" applyBorder="1" applyAlignment="1" applyProtection="1">
      <alignment horizontal="center" vertical="center"/>
    </xf>
    <xf numFmtId="164" fontId="0" fillId="3" borderId="3" xfId="0" quotePrefix="1" applyNumberFormat="1" applyFill="1" applyBorder="1" applyAlignment="1" applyProtection="1">
      <alignment horizontal="center" vertical="center"/>
    </xf>
    <xf numFmtId="0" fontId="20" fillId="3" borderId="1" xfId="0" applyFont="1" applyFill="1" applyBorder="1" applyAlignment="1" applyProtection="1">
      <alignment horizontal="right" vertical="center"/>
    </xf>
    <xf numFmtId="0" fontId="20" fillId="3" borderId="2" xfId="0" applyFont="1" applyFill="1" applyBorder="1" applyAlignment="1" applyProtection="1">
      <alignment horizontal="left" vertical="center"/>
    </xf>
    <xf numFmtId="0" fontId="20" fillId="3" borderId="2" xfId="0" applyFont="1" applyFill="1" applyBorder="1" applyAlignment="1" applyProtection="1">
      <alignment horizontal="center" vertical="center"/>
    </xf>
    <xf numFmtId="1" fontId="21" fillId="3" borderId="2" xfId="0" applyNumberFormat="1" applyFont="1" applyFill="1" applyBorder="1" applyAlignment="1" applyProtection="1">
      <alignment horizontal="center" vertical="center"/>
    </xf>
    <xf numFmtId="165" fontId="0" fillId="3" borderId="2" xfId="0" quotePrefix="1" applyNumberFormat="1" applyFill="1" applyBorder="1" applyAlignment="1" applyProtection="1">
      <alignment horizontal="center" vertical="center"/>
    </xf>
    <xf numFmtId="0" fontId="19" fillId="0" borderId="19" xfId="0" applyFont="1" applyBorder="1" applyAlignment="1" applyProtection="1">
      <alignment horizontal="center" vertical="center"/>
    </xf>
    <xf numFmtId="0" fontId="0" fillId="0" borderId="11" xfId="0" applyNumberFormat="1" applyBorder="1" applyProtection="1"/>
    <xf numFmtId="11" fontId="19" fillId="0" borderId="10" xfId="0" quotePrefix="1" applyNumberFormat="1" applyFont="1" applyBorder="1" applyAlignment="1" applyProtection="1">
      <alignment horizontal="center" vertical="center"/>
    </xf>
    <xf numFmtId="0" fontId="0" fillId="2" borderId="17" xfId="0" applyFill="1" applyBorder="1" applyAlignment="1" applyProtection="1">
      <alignment horizontal="center" vertical="center"/>
      <protection locked="0"/>
    </xf>
    <xf numFmtId="0" fontId="0" fillId="2" borderId="11" xfId="0" applyFill="1" applyBorder="1" applyAlignment="1" applyProtection="1">
      <alignment horizontal="center" vertical="center"/>
      <protection locked="0"/>
    </xf>
    <xf numFmtId="0" fontId="0" fillId="2" borderId="11" xfId="0" applyFill="1" applyBorder="1" applyAlignment="1" applyProtection="1">
      <alignment horizontal="center"/>
      <protection locked="0"/>
    </xf>
    <xf numFmtId="11" fontId="0" fillId="2" borderId="11" xfId="0" applyNumberFormat="1" applyFill="1" applyBorder="1" applyProtection="1">
      <protection locked="0"/>
    </xf>
    <xf numFmtId="0" fontId="0" fillId="2" borderId="11" xfId="0" applyNumberFormat="1" applyFill="1" applyBorder="1" applyProtection="1">
      <protection locked="0"/>
    </xf>
    <xf numFmtId="0" fontId="0" fillId="2" borderId="11" xfId="0" applyFill="1" applyBorder="1" applyProtection="1">
      <protection locked="0"/>
    </xf>
    <xf numFmtId="0" fontId="0" fillId="2" borderId="14" xfId="0" applyFill="1" applyBorder="1" applyProtection="1">
      <protection locked="0"/>
    </xf>
    <xf numFmtId="164" fontId="0" fillId="2" borderId="8" xfId="0" applyNumberFormat="1" applyFill="1" applyBorder="1" applyAlignment="1" applyProtection="1">
      <alignment horizontal="center" vertical="center"/>
      <protection locked="0"/>
    </xf>
    <xf numFmtId="164" fontId="0" fillId="2" borderId="11" xfId="0" applyNumberFormat="1" applyFill="1" applyBorder="1" applyAlignment="1" applyProtection="1">
      <alignment horizontal="center" vertical="center"/>
      <protection locked="0"/>
    </xf>
    <xf numFmtId="164" fontId="0" fillId="2" borderId="14" xfId="0" applyNumberFormat="1" applyFill="1" applyBorder="1" applyAlignment="1" applyProtection="1">
      <alignment horizontal="center" vertical="center"/>
      <protection locked="0"/>
    </xf>
    <xf numFmtId="0" fontId="19" fillId="2" borderId="16" xfId="0" applyFont="1" applyFill="1" applyBorder="1" applyAlignment="1" applyProtection="1">
      <alignment horizontal="right" vertical="center"/>
      <protection locked="0"/>
    </xf>
    <xf numFmtId="0" fontId="19" fillId="2" borderId="10" xfId="0" applyFont="1" applyFill="1" applyBorder="1" applyAlignment="1" applyProtection="1">
      <alignment horizontal="right" vertical="center"/>
      <protection locked="0"/>
    </xf>
    <xf numFmtId="0" fontId="0" fillId="2" borderId="10" xfId="0" applyFont="1" applyFill="1" applyBorder="1" applyAlignment="1" applyProtection="1">
      <alignment horizontal="right" vertical="center"/>
      <protection locked="0"/>
    </xf>
    <xf numFmtId="0" fontId="0" fillId="2" borderId="13" xfId="0" applyFont="1" applyFill="1" applyBorder="1" applyAlignment="1" applyProtection="1">
      <alignment horizontal="right" vertical="center"/>
      <protection locked="0"/>
    </xf>
    <xf numFmtId="0" fontId="19" fillId="2" borderId="31" xfId="0" applyFont="1" applyFill="1" applyBorder="1" applyAlignment="1" applyProtection="1">
      <alignment horizontal="center" vertical="center"/>
      <protection locked="0"/>
    </xf>
    <xf numFmtId="1" fontId="0" fillId="2" borderId="31" xfId="0" applyNumberFormat="1" applyFont="1" applyFill="1" applyBorder="1" applyAlignment="1" applyProtection="1">
      <alignment horizontal="center" vertical="center"/>
      <protection locked="0"/>
    </xf>
    <xf numFmtId="0" fontId="19" fillId="2" borderId="32" xfId="0" applyFont="1" applyFill="1" applyBorder="1" applyAlignment="1" applyProtection="1">
      <alignment horizontal="center" vertical="center"/>
      <protection locked="0"/>
    </xf>
    <xf numFmtId="1" fontId="0" fillId="2" borderId="32" xfId="0" applyNumberFormat="1" applyFont="1" applyFill="1" applyBorder="1" applyAlignment="1" applyProtection="1">
      <alignment horizontal="center" vertical="center"/>
      <protection locked="0"/>
    </xf>
    <xf numFmtId="0" fontId="0" fillId="2" borderId="33" xfId="0" applyFont="1" applyFill="1" applyBorder="1" applyAlignment="1" applyProtection="1">
      <alignment horizontal="center" vertical="center"/>
      <protection locked="0"/>
    </xf>
    <xf numFmtId="1" fontId="0" fillId="2" borderId="33" xfId="0" applyNumberFormat="1" applyFont="1" applyFill="1" applyBorder="1" applyAlignment="1" applyProtection="1">
      <alignment horizontal="center" vertical="center"/>
      <protection locked="0"/>
    </xf>
    <xf numFmtId="164" fontId="0" fillId="2" borderId="20" xfId="0" applyNumberFormat="1" applyFill="1" applyBorder="1" applyAlignment="1" applyProtection="1">
      <alignment horizontal="center" vertical="center"/>
      <protection locked="0"/>
    </xf>
    <xf numFmtId="0" fontId="0" fillId="2" borderId="19" xfId="0" applyFont="1" applyFill="1" applyBorder="1" applyAlignment="1" applyProtection="1">
      <alignment horizontal="right" vertical="center"/>
      <protection locked="0"/>
    </xf>
    <xf numFmtId="0" fontId="19" fillId="2" borderId="34" xfId="0" applyFont="1" applyFill="1" applyBorder="1" applyAlignment="1" applyProtection="1">
      <alignment horizontal="center" vertical="center"/>
      <protection locked="0"/>
    </xf>
    <xf numFmtId="1" fontId="0" fillId="2" borderId="34" xfId="0" applyNumberFormat="1" applyFont="1" applyFill="1" applyBorder="1" applyAlignment="1" applyProtection="1">
      <alignment horizontal="center" vertical="center"/>
      <protection locked="0"/>
    </xf>
    <xf numFmtId="0" fontId="0" fillId="2" borderId="32" xfId="0" applyFont="1" applyFill="1" applyBorder="1" applyAlignment="1" applyProtection="1">
      <alignment horizontal="center" vertical="center"/>
      <protection locked="0"/>
    </xf>
    <xf numFmtId="1" fontId="0" fillId="2" borderId="17" xfId="0" applyNumberFormat="1" applyFill="1" applyBorder="1" applyAlignment="1" applyProtection="1">
      <alignment horizontal="center" vertical="center"/>
      <protection locked="0"/>
    </xf>
    <xf numFmtId="1" fontId="0" fillId="2" borderId="11" xfId="0" applyNumberFormat="1" applyFill="1" applyBorder="1" applyAlignment="1" applyProtection="1">
      <alignment horizontal="center" vertical="center"/>
      <protection locked="0"/>
    </xf>
    <xf numFmtId="1" fontId="0" fillId="2" borderId="20" xfId="0" applyNumberFormat="1" applyFill="1" applyBorder="1" applyAlignment="1" applyProtection="1">
      <alignment horizontal="center" vertical="center"/>
      <protection locked="0"/>
    </xf>
    <xf numFmtId="1" fontId="0" fillId="2" borderId="14" xfId="0" applyNumberFormat="1" applyFill="1" applyBorder="1" applyAlignment="1" applyProtection="1">
      <alignment horizontal="center" vertical="center"/>
      <protection locked="0"/>
    </xf>
    <xf numFmtId="1" fontId="0" fillId="2" borderId="8" xfId="0" applyNumberFormat="1" applyFill="1" applyBorder="1" applyAlignment="1" applyProtection="1">
      <alignment horizontal="center" vertical="center"/>
      <protection locked="0"/>
    </xf>
    <xf numFmtId="0" fontId="0" fillId="2" borderId="16" xfId="0" applyFont="1" applyFill="1" applyBorder="1" applyAlignment="1" applyProtection="1">
      <alignment horizontal="right" vertical="center"/>
      <protection locked="0"/>
    </xf>
    <xf numFmtId="0" fontId="0" fillId="2" borderId="31" xfId="0" applyFont="1" applyFill="1" applyBorder="1" applyAlignment="1" applyProtection="1">
      <alignment horizontal="center" vertical="center"/>
      <protection locked="0"/>
    </xf>
    <xf numFmtId="0" fontId="0" fillId="2" borderId="35" xfId="0" applyFont="1" applyFill="1" applyBorder="1" applyAlignment="1" applyProtection="1">
      <alignment horizontal="center" vertical="center"/>
      <protection locked="0"/>
    </xf>
    <xf numFmtId="1" fontId="0" fillId="2" borderId="35" xfId="0" applyNumberFormat="1" applyFont="1" applyFill="1" applyBorder="1" applyAlignment="1" applyProtection="1">
      <alignment horizontal="center" vertical="center"/>
      <protection locked="0"/>
    </xf>
    <xf numFmtId="0" fontId="31" fillId="0" borderId="0" xfId="3" applyFont="1" applyAlignment="1">
      <alignment horizontal="center"/>
    </xf>
    <xf numFmtId="0" fontId="29" fillId="0" borderId="0" xfId="2"/>
    <xf numFmtId="0" fontId="32" fillId="0" borderId="0" xfId="2" applyFont="1"/>
    <xf numFmtId="0" fontId="31" fillId="0" borderId="0" xfId="2" applyFont="1" applyAlignment="1">
      <alignment horizontal="center"/>
    </xf>
    <xf numFmtId="14" fontId="31" fillId="0" borderId="0" xfId="2" applyNumberFormat="1" applyFont="1" applyAlignment="1">
      <alignment horizontal="center"/>
    </xf>
    <xf numFmtId="169" fontId="29" fillId="0" borderId="0" xfId="2" applyNumberFormat="1"/>
    <xf numFmtId="169" fontId="31" fillId="0" borderId="0" xfId="2" applyNumberFormat="1" applyFont="1" applyAlignment="1">
      <alignment horizontal="left"/>
    </xf>
    <xf numFmtId="0" fontId="29" fillId="0" borderId="0" xfId="2" applyFont="1"/>
    <xf numFmtId="0" fontId="29" fillId="0" borderId="0" xfId="2" applyFont="1" applyAlignment="1" applyProtection="1">
      <alignment horizontal="center"/>
    </xf>
    <xf numFmtId="0" fontId="29" fillId="0" borderId="0" xfId="2" applyFont="1" applyAlignment="1" applyProtection="1">
      <alignment horizontal="right"/>
    </xf>
    <xf numFmtId="169" fontId="29" fillId="0" borderId="0" xfId="2" applyNumberFormat="1" applyAlignment="1">
      <alignment horizontal="left"/>
    </xf>
    <xf numFmtId="173" fontId="29" fillId="0" borderId="0" xfId="2" applyNumberFormat="1" applyFont="1" applyProtection="1"/>
    <xf numFmtId="0" fontId="0" fillId="0" borderId="0" xfId="0" applyBorder="1" applyAlignment="1" applyProtection="1">
      <alignment horizontal="right"/>
    </xf>
    <xf numFmtId="0" fontId="0" fillId="0" borderId="0" xfId="0" applyFill="1" applyBorder="1" applyProtection="1"/>
    <xf numFmtId="11" fontId="0" fillId="2" borderId="14" xfId="0" applyNumberFormat="1" applyFill="1" applyBorder="1" applyProtection="1">
      <protection locked="0"/>
    </xf>
    <xf numFmtId="0" fontId="0" fillId="0" borderId="23" xfId="0" applyBorder="1" applyAlignment="1" applyProtection="1">
      <alignment horizontal="left" vertical="center"/>
    </xf>
    <xf numFmtId="0" fontId="1" fillId="0" borderId="23" xfId="0" applyFont="1" applyBorder="1" applyAlignment="1" applyProtection="1">
      <alignment vertical="center"/>
    </xf>
    <xf numFmtId="0" fontId="20" fillId="0" borderId="0" xfId="2" applyFont="1" applyAlignment="1">
      <alignment horizontal="left"/>
    </xf>
    <xf numFmtId="0" fontId="36" fillId="0" borderId="39" xfId="0" applyFont="1" applyBorder="1"/>
    <xf numFmtId="0" fontId="36" fillId="0" borderId="29" xfId="0" applyFont="1" applyBorder="1"/>
    <xf numFmtId="0" fontId="37" fillId="0" borderId="39" xfId="0" applyFont="1" applyBorder="1" applyAlignment="1">
      <alignment horizontal="left"/>
    </xf>
    <xf numFmtId="0" fontId="37" fillId="0" borderId="29" xfId="0" applyFont="1" applyBorder="1" applyAlignment="1">
      <alignment horizontal="center"/>
    </xf>
    <xf numFmtId="0" fontId="37" fillId="0" borderId="40" xfId="0" applyFont="1" applyBorder="1" applyAlignment="1">
      <alignment horizontal="center"/>
    </xf>
    <xf numFmtId="174" fontId="38" fillId="0" borderId="41" xfId="0" quotePrefix="1" applyNumberFormat="1" applyFont="1" applyBorder="1" applyAlignment="1">
      <alignment horizontal="right"/>
    </xf>
    <xf numFmtId="0" fontId="38" fillId="0" borderId="42" xfId="0" applyNumberFormat="1" applyFont="1" applyBorder="1" applyAlignment="1">
      <alignment horizontal="center"/>
    </xf>
    <xf numFmtId="0" fontId="38" fillId="0" borderId="42" xfId="0" applyFont="1" applyBorder="1" applyAlignment="1">
      <alignment horizontal="left"/>
    </xf>
    <xf numFmtId="0" fontId="38" fillId="0" borderId="42" xfId="0" applyFont="1" applyBorder="1" applyAlignment="1">
      <alignment horizontal="center"/>
    </xf>
    <xf numFmtId="174" fontId="38" fillId="5" borderId="41" xfId="0" quotePrefix="1" applyNumberFormat="1" applyFont="1" applyFill="1" applyBorder="1" applyAlignment="1">
      <alignment horizontal="right"/>
    </xf>
    <xf numFmtId="0" fontId="38" fillId="5" borderId="42" xfId="0" applyFont="1" applyFill="1" applyBorder="1" applyAlignment="1">
      <alignment horizontal="center"/>
    </xf>
    <xf numFmtId="14" fontId="38" fillId="0" borderId="42" xfId="0" applyNumberFormat="1" applyFont="1" applyBorder="1" applyAlignment="1">
      <alignment horizontal="center"/>
    </xf>
    <xf numFmtId="0" fontId="38" fillId="0" borderId="42" xfId="0" applyFont="1" applyBorder="1"/>
    <xf numFmtId="174" fontId="38" fillId="0" borderId="43" xfId="0" quotePrefix="1" applyNumberFormat="1" applyFont="1" applyBorder="1" applyAlignment="1">
      <alignment horizontal="right"/>
    </xf>
    <xf numFmtId="0" fontId="38" fillId="0" borderId="44" xfId="0" applyFont="1" applyBorder="1"/>
    <xf numFmtId="0" fontId="0" fillId="0" borderId="23" xfId="0" applyBorder="1" applyAlignment="1" applyProtection="1">
      <alignment horizontal="center"/>
    </xf>
    <xf numFmtId="0" fontId="0" fillId="0" borderId="0" xfId="0" applyBorder="1" applyAlignment="1" applyProtection="1">
      <alignment horizontal="center"/>
    </xf>
    <xf numFmtId="11" fontId="0" fillId="0" borderId="0" xfId="0" applyNumberFormat="1" applyBorder="1" applyAlignment="1" applyProtection="1">
      <alignment horizontal="center"/>
    </xf>
    <xf numFmtId="1" fontId="0" fillId="2" borderId="11" xfId="0" applyNumberFormat="1" applyFill="1" applyBorder="1" applyProtection="1">
      <protection locked="0"/>
    </xf>
    <xf numFmtId="166" fontId="0" fillId="0" borderId="29" xfId="0" applyNumberFormat="1" applyBorder="1" applyAlignment="1" applyProtection="1">
      <alignment horizontal="center" vertical="center"/>
    </xf>
    <xf numFmtId="166" fontId="0" fillId="0" borderId="23" xfId="0" applyNumberFormat="1" applyBorder="1" applyAlignment="1" applyProtection="1">
      <alignment horizontal="center" vertical="center"/>
    </xf>
    <xf numFmtId="0" fontId="0" fillId="2" borderId="12" xfId="0" applyFill="1" applyBorder="1" applyAlignment="1" applyProtection="1">
      <alignment horizontal="center" vertical="center"/>
      <protection locked="0"/>
    </xf>
    <xf numFmtId="1" fontId="0" fillId="0" borderId="30" xfId="0" applyNumberFormat="1" applyBorder="1" applyAlignment="1" applyProtection="1">
      <alignment horizontal="center"/>
    </xf>
    <xf numFmtId="166" fontId="0" fillId="0" borderId="0" xfId="0" applyNumberFormat="1" applyAlignment="1" applyProtection="1">
      <alignment horizontal="center"/>
    </xf>
    <xf numFmtId="11" fontId="0" fillId="0" borderId="0" xfId="0" applyNumberFormat="1" applyProtection="1"/>
    <xf numFmtId="165" fontId="0" fillId="0" borderId="0" xfId="0" applyNumberFormat="1" applyProtection="1"/>
    <xf numFmtId="170" fontId="29" fillId="0" borderId="0" xfId="2" applyNumberFormat="1"/>
    <xf numFmtId="0" fontId="30" fillId="0" borderId="22" xfId="2" applyFont="1" applyBorder="1" applyAlignment="1">
      <alignment horizontal="center"/>
    </xf>
    <xf numFmtId="0" fontId="30" fillId="0" borderId="23" xfId="2" applyFont="1" applyBorder="1" applyAlignment="1">
      <alignment horizontal="center"/>
    </xf>
    <xf numFmtId="169" fontId="30" fillId="0" borderId="23" xfId="2" applyNumberFormat="1" applyFont="1" applyBorder="1" applyAlignment="1">
      <alignment horizontal="center"/>
    </xf>
    <xf numFmtId="0" fontId="1" fillId="0" borderId="23" xfId="0" applyFont="1" applyBorder="1"/>
    <xf numFmtId="0" fontId="1" fillId="0" borderId="28" xfId="0" applyFont="1" applyBorder="1"/>
    <xf numFmtId="0" fontId="30" fillId="0" borderId="24" xfId="2" applyFont="1" applyBorder="1" applyAlignment="1">
      <alignment horizontal="center"/>
    </xf>
    <xf numFmtId="0" fontId="30" fillId="0" borderId="0" xfId="3" applyFont="1" applyBorder="1" applyAlignment="1">
      <alignment horizontal="center"/>
    </xf>
    <xf numFmtId="169" fontId="31" fillId="0" borderId="0" xfId="2" applyNumberFormat="1" applyFont="1" applyBorder="1" applyAlignment="1">
      <alignment horizontal="center"/>
    </xf>
    <xf numFmtId="0" fontId="29" fillId="0" borderId="0" xfId="2" applyBorder="1"/>
    <xf numFmtId="0" fontId="29" fillId="0" borderId="29" xfId="2" applyBorder="1"/>
    <xf numFmtId="0" fontId="31" fillId="0" borderId="24" xfId="2" applyNumberFormat="1" applyFont="1" applyBorder="1" applyAlignment="1">
      <alignment horizontal="center"/>
    </xf>
    <xf numFmtId="0" fontId="30" fillId="0" borderId="0" xfId="2" applyFont="1" applyBorder="1" applyAlignment="1">
      <alignment horizontal="center"/>
    </xf>
    <xf numFmtId="0" fontId="30" fillId="0" borderId="29" xfId="2" applyFont="1" applyBorder="1" applyAlignment="1">
      <alignment horizontal="center"/>
    </xf>
    <xf numFmtId="0" fontId="29" fillId="0" borderId="26" xfId="2" applyBorder="1"/>
    <xf numFmtId="0" fontId="29" fillId="0" borderId="30" xfId="2" applyBorder="1"/>
    <xf numFmtId="0" fontId="30" fillId="0" borderId="22" xfId="2" applyFont="1" applyBorder="1" applyAlignment="1">
      <alignment horizontal="center" vertical="center" wrapText="1"/>
    </xf>
    <xf numFmtId="0" fontId="30" fillId="0" borderId="23" xfId="3" applyFont="1" applyBorder="1" applyAlignment="1">
      <alignment horizontal="center" vertical="center" wrapText="1"/>
    </xf>
    <xf numFmtId="0" fontId="30" fillId="0" borderId="23" xfId="2" applyFont="1" applyBorder="1" applyAlignment="1">
      <alignment horizontal="center" vertical="center" wrapText="1"/>
    </xf>
    <xf numFmtId="167" fontId="32" fillId="0" borderId="23" xfId="2" applyNumberFormat="1" applyFont="1" applyBorder="1" applyAlignment="1">
      <alignment horizontal="center" vertical="center" wrapText="1"/>
    </xf>
    <xf numFmtId="0" fontId="32" fillId="0" borderId="23" xfId="2" applyFont="1" applyBorder="1" applyAlignment="1">
      <alignment horizontal="center" vertical="center" wrapText="1"/>
    </xf>
    <xf numFmtId="0" fontId="32" fillId="0" borderId="28" xfId="2" applyFont="1" applyBorder="1" applyAlignment="1">
      <alignment horizontal="center" vertical="center" wrapText="1"/>
    </xf>
    <xf numFmtId="0" fontId="20" fillId="0" borderId="0" xfId="3" applyFont="1" applyBorder="1" applyAlignment="1">
      <alignment horizontal="left"/>
    </xf>
    <xf numFmtId="0" fontId="32" fillId="0" borderId="0" xfId="2" applyFont="1" applyBorder="1" applyAlignment="1">
      <alignment horizontal="center"/>
    </xf>
    <xf numFmtId="1" fontId="32" fillId="0" borderId="0" xfId="2" applyNumberFormat="1" applyFont="1" applyBorder="1" applyAlignment="1">
      <alignment horizontal="center"/>
    </xf>
    <xf numFmtId="0" fontId="32" fillId="0" borderId="29" xfId="2" applyFont="1" applyBorder="1" applyAlignment="1">
      <alignment horizontal="center" vertical="center"/>
    </xf>
    <xf numFmtId="0" fontId="20" fillId="0" borderId="25" xfId="2" applyFont="1" applyBorder="1"/>
    <xf numFmtId="170" fontId="20" fillId="0" borderId="26" xfId="2" applyNumberFormat="1" applyFont="1" applyBorder="1" applyAlignment="1">
      <alignment horizontal="left"/>
    </xf>
    <xf numFmtId="0" fontId="32" fillId="0" borderId="26" xfId="2" applyFont="1" applyBorder="1" applyAlignment="1">
      <alignment horizontal="right"/>
    </xf>
    <xf numFmtId="0" fontId="31" fillId="0" borderId="26" xfId="2" applyFont="1" applyBorder="1" applyAlignment="1">
      <alignment horizontal="center"/>
    </xf>
    <xf numFmtId="0" fontId="30" fillId="0" borderId="28" xfId="2" applyFont="1" applyBorder="1" applyAlignment="1">
      <alignment horizontal="center" vertical="center" wrapText="1"/>
    </xf>
    <xf numFmtId="1" fontId="32" fillId="0" borderId="24" xfId="2" applyNumberFormat="1" applyFont="1" applyBorder="1" applyAlignment="1">
      <alignment horizontal="center"/>
    </xf>
    <xf numFmtId="1" fontId="30" fillId="0" borderId="29" xfId="2" applyNumberFormat="1" applyFont="1" applyBorder="1" applyAlignment="1">
      <alignment horizontal="center"/>
    </xf>
    <xf numFmtId="166" fontId="29" fillId="0" borderId="25" xfId="2" applyNumberFormat="1" applyBorder="1" applyAlignment="1">
      <alignment horizontal="center"/>
    </xf>
    <xf numFmtId="166" fontId="29" fillId="0" borderId="30" xfId="2" applyNumberFormat="1" applyBorder="1" applyAlignment="1">
      <alignment horizontal="center"/>
    </xf>
    <xf numFmtId="0" fontId="29" fillId="0" borderId="24" xfId="2" applyBorder="1"/>
    <xf numFmtId="14" fontId="31" fillId="2" borderId="0" xfId="2" applyNumberFormat="1" applyFont="1" applyFill="1" applyAlignment="1" applyProtection="1">
      <alignment horizontal="center"/>
      <protection locked="0"/>
    </xf>
    <xf numFmtId="0" fontId="31" fillId="2" borderId="0" xfId="2" applyFont="1" applyFill="1" applyAlignment="1" applyProtection="1">
      <alignment horizontal="center"/>
      <protection locked="0"/>
    </xf>
    <xf numFmtId="0" fontId="31" fillId="2" borderId="24" xfId="2" applyNumberFormat="1" applyFont="1" applyFill="1" applyBorder="1" applyAlignment="1" applyProtection="1">
      <alignment horizontal="center"/>
      <protection locked="0"/>
    </xf>
    <xf numFmtId="172" fontId="31" fillId="2" borderId="0" xfId="2" applyNumberFormat="1" applyFont="1" applyFill="1" applyBorder="1" applyAlignment="1" applyProtection="1">
      <alignment horizontal="center"/>
      <protection locked="0"/>
    </xf>
    <xf numFmtId="14" fontId="31" fillId="2" borderId="24" xfId="2" applyNumberFormat="1" applyFont="1" applyFill="1" applyBorder="1" applyAlignment="1" applyProtection="1">
      <alignment horizontal="center"/>
      <protection locked="0"/>
    </xf>
    <xf numFmtId="14" fontId="31" fillId="2" borderId="25" xfId="2" applyNumberFormat="1" applyFont="1" applyFill="1" applyBorder="1" applyAlignment="1" applyProtection="1">
      <alignment horizontal="center"/>
      <protection locked="0"/>
    </xf>
    <xf numFmtId="172" fontId="31" fillId="2" borderId="26" xfId="2" applyNumberFormat="1" applyFont="1" applyFill="1" applyBorder="1" applyAlignment="1" applyProtection="1">
      <alignment horizontal="center"/>
      <protection locked="0"/>
    </xf>
    <xf numFmtId="14" fontId="32" fillId="2" borderId="24" xfId="2" applyNumberFormat="1" applyFont="1" applyFill="1" applyBorder="1" applyProtection="1">
      <protection locked="0"/>
    </xf>
    <xf numFmtId="0" fontId="29" fillId="2" borderId="0" xfId="2" applyFill="1" applyBorder="1" applyProtection="1">
      <protection locked="0"/>
    </xf>
    <xf numFmtId="0" fontId="29" fillId="2" borderId="26" xfId="2" applyFill="1" applyBorder="1" applyProtection="1">
      <protection locked="0"/>
    </xf>
    <xf numFmtId="170" fontId="31" fillId="2" borderId="0" xfId="2" applyNumberFormat="1" applyFont="1" applyFill="1" applyBorder="1" applyAlignment="1" applyProtection="1">
      <alignment horizontal="center"/>
      <protection locked="0"/>
    </xf>
    <xf numFmtId="0" fontId="31" fillId="2" borderId="0" xfId="2" applyFont="1" applyFill="1" applyBorder="1" applyAlignment="1" applyProtection="1">
      <alignment horizontal="center"/>
      <protection locked="0"/>
    </xf>
    <xf numFmtId="171" fontId="31" fillId="2" borderId="0" xfId="3" applyNumberFormat="1" applyFont="1" applyFill="1" applyBorder="1" applyAlignment="1" applyProtection="1">
      <alignment horizontal="center"/>
      <protection locked="0"/>
    </xf>
    <xf numFmtId="1" fontId="31" fillId="2" borderId="0" xfId="2" applyNumberFormat="1" applyFont="1" applyFill="1" applyBorder="1" applyAlignment="1" applyProtection="1">
      <alignment horizontal="center"/>
      <protection locked="0"/>
    </xf>
    <xf numFmtId="170" fontId="29" fillId="2" borderId="0" xfId="2" applyNumberFormat="1" applyFill="1" applyBorder="1" applyProtection="1">
      <protection locked="0"/>
    </xf>
    <xf numFmtId="0" fontId="29" fillId="2" borderId="29" xfId="2" applyFill="1" applyBorder="1" applyProtection="1">
      <protection locked="0"/>
    </xf>
    <xf numFmtId="169" fontId="31" fillId="2" borderId="0" xfId="2" applyNumberFormat="1" applyFont="1" applyFill="1" applyBorder="1" applyAlignment="1" applyProtection="1">
      <alignment horizontal="left"/>
      <protection locked="0"/>
    </xf>
    <xf numFmtId="169" fontId="31" fillId="2" borderId="26" xfId="2" applyNumberFormat="1" applyFont="1" applyFill="1" applyBorder="1" applyAlignment="1" applyProtection="1">
      <alignment horizontal="left"/>
      <protection locked="0"/>
    </xf>
    <xf numFmtId="170" fontId="31" fillId="2" borderId="26" xfId="2" applyNumberFormat="1" applyFont="1" applyFill="1" applyBorder="1" applyAlignment="1" applyProtection="1">
      <alignment horizontal="center"/>
      <protection locked="0"/>
    </xf>
    <xf numFmtId="0" fontId="29" fillId="2" borderId="30" xfId="2" applyFill="1" applyBorder="1" applyProtection="1">
      <protection locked="0"/>
    </xf>
    <xf numFmtId="11" fontId="0" fillId="2" borderId="13" xfId="0" applyNumberFormat="1" applyFont="1" applyFill="1" applyBorder="1" applyAlignment="1" applyProtection="1">
      <alignment horizontal="right" vertical="center"/>
      <protection locked="0"/>
    </xf>
    <xf numFmtId="11" fontId="0" fillId="2" borderId="10" xfId="0" applyNumberFormat="1" applyFont="1" applyFill="1" applyBorder="1" applyAlignment="1" applyProtection="1">
      <alignment horizontal="right" vertical="center"/>
      <protection locked="0"/>
    </xf>
    <xf numFmtId="11" fontId="19" fillId="2" borderId="16" xfId="0" applyNumberFormat="1" applyFont="1" applyFill="1" applyBorder="1" applyAlignment="1" applyProtection="1">
      <alignment horizontal="right" vertical="center"/>
      <protection locked="0"/>
    </xf>
    <xf numFmtId="0" fontId="42" fillId="0" borderId="22" xfId="0" applyFont="1" applyBorder="1" applyAlignment="1" applyProtection="1">
      <alignment horizontal="left" vertical="top" wrapText="1"/>
    </xf>
    <xf numFmtId="0" fontId="42" fillId="0" borderId="23" xfId="0" applyFont="1" applyBorder="1" applyAlignment="1" applyProtection="1">
      <alignment horizontal="left" vertical="top" wrapText="1"/>
    </xf>
    <xf numFmtId="0" fontId="42" fillId="0" borderId="28" xfId="0" applyFont="1" applyBorder="1" applyAlignment="1" applyProtection="1">
      <alignment horizontal="left" vertical="top" wrapText="1"/>
    </xf>
    <xf numFmtId="0" fontId="42" fillId="0" borderId="24" xfId="0" applyFont="1" applyBorder="1" applyAlignment="1" applyProtection="1">
      <alignment horizontal="left" vertical="top" wrapText="1"/>
    </xf>
    <xf numFmtId="0" fontId="42" fillId="0" borderId="0" xfId="0" applyFont="1" applyBorder="1" applyAlignment="1" applyProtection="1">
      <alignment horizontal="left" vertical="top" wrapText="1"/>
    </xf>
    <xf numFmtId="0" fontId="42" fillId="0" borderId="29" xfId="0" applyFont="1" applyBorder="1" applyAlignment="1" applyProtection="1">
      <alignment horizontal="left" vertical="top" wrapText="1"/>
    </xf>
    <xf numFmtId="0" fontId="42" fillId="0" borderId="25" xfId="0" applyFont="1" applyBorder="1" applyAlignment="1" applyProtection="1">
      <alignment horizontal="left" vertical="top" wrapText="1"/>
    </xf>
    <xf numFmtId="0" fontId="42" fillId="0" borderId="26" xfId="0" applyFont="1" applyBorder="1" applyAlignment="1" applyProtection="1">
      <alignment horizontal="left" vertical="top" wrapText="1"/>
    </xf>
    <xf numFmtId="0" fontId="42" fillId="0" borderId="30" xfId="0" applyFont="1" applyBorder="1" applyAlignment="1" applyProtection="1">
      <alignment horizontal="left" vertical="top" wrapText="1"/>
    </xf>
    <xf numFmtId="164" fontId="22" fillId="3" borderId="1" xfId="0" applyNumberFormat="1" applyFont="1" applyFill="1" applyBorder="1" applyAlignment="1" applyProtection="1">
      <alignment horizontal="center" vertical="center"/>
    </xf>
    <xf numFmtId="164" fontId="22" fillId="3" borderId="2" xfId="0" applyNumberFormat="1" applyFont="1" applyFill="1" applyBorder="1" applyAlignment="1" applyProtection="1">
      <alignment horizontal="center" vertical="center"/>
    </xf>
    <xf numFmtId="164" fontId="22" fillId="3" borderId="3" xfId="0" applyNumberFormat="1" applyFont="1" applyFill="1" applyBorder="1" applyAlignment="1" applyProtection="1">
      <alignment horizontal="center" vertical="center"/>
    </xf>
    <xf numFmtId="0" fontId="22" fillId="3" borderId="1" xfId="0" applyFont="1" applyFill="1" applyBorder="1" applyAlignment="1" applyProtection="1">
      <alignment horizontal="center" vertical="center"/>
    </xf>
    <xf numFmtId="0" fontId="22" fillId="3" borderId="2" xfId="0" applyFont="1" applyFill="1" applyBorder="1" applyAlignment="1" applyProtection="1">
      <alignment horizontal="center" vertical="center"/>
    </xf>
    <xf numFmtId="0" fontId="22" fillId="3" borderId="3" xfId="0" applyFont="1" applyFill="1" applyBorder="1" applyAlignment="1" applyProtection="1">
      <alignment horizontal="center" vertical="center"/>
    </xf>
    <xf numFmtId="1" fontId="39" fillId="0" borderId="0" xfId="0" applyNumberFormat="1" applyFont="1" applyAlignment="1" applyProtection="1">
      <alignment horizontal="center" vertical="top" wrapText="1"/>
    </xf>
    <xf numFmtId="1" fontId="39" fillId="0" borderId="29" xfId="0" applyNumberFormat="1" applyFont="1" applyBorder="1" applyAlignment="1" applyProtection="1">
      <alignment horizontal="center" vertical="top" wrapText="1"/>
    </xf>
    <xf numFmtId="1" fontId="40" fillId="0" borderId="0" xfId="0" applyNumberFormat="1" applyFont="1" applyBorder="1" applyAlignment="1" applyProtection="1">
      <alignment horizontal="center" vertical="top" wrapText="1"/>
    </xf>
    <xf numFmtId="1" fontId="40" fillId="0" borderId="29" xfId="0" applyNumberFormat="1" applyFont="1" applyBorder="1" applyAlignment="1" applyProtection="1">
      <alignment horizontal="center" vertical="top" wrapText="1"/>
    </xf>
    <xf numFmtId="0" fontId="22" fillId="3" borderId="25" xfId="0" applyFont="1" applyFill="1" applyBorder="1" applyAlignment="1" applyProtection="1">
      <alignment horizontal="center" vertical="center"/>
    </xf>
    <xf numFmtId="0" fontId="22" fillId="3" borderId="26" xfId="0" applyFont="1" applyFill="1" applyBorder="1" applyAlignment="1" applyProtection="1">
      <alignment horizontal="center" vertical="center"/>
    </xf>
    <xf numFmtId="0" fontId="2" fillId="0" borderId="22" xfId="0" applyFont="1" applyBorder="1" applyAlignment="1" applyProtection="1">
      <alignment horizontal="center" vertical="center"/>
    </xf>
    <xf numFmtId="0" fontId="2" fillId="0" borderId="37" xfId="0" applyFont="1" applyBorder="1" applyAlignment="1" applyProtection="1">
      <alignment horizontal="center" vertical="center"/>
    </xf>
    <xf numFmtId="0" fontId="2" fillId="0" borderId="25" xfId="0" applyFont="1" applyBorder="1" applyAlignment="1" applyProtection="1">
      <alignment horizontal="center" vertical="center" wrapText="1"/>
    </xf>
    <xf numFmtId="0" fontId="2" fillId="0" borderId="38" xfId="0" applyFont="1" applyBorder="1" applyAlignment="1" applyProtection="1">
      <alignment horizontal="center" vertical="center" wrapText="1"/>
    </xf>
    <xf numFmtId="0" fontId="22" fillId="3" borderId="30" xfId="0" applyFont="1" applyFill="1" applyBorder="1" applyAlignment="1" applyProtection="1">
      <alignment horizontal="center" vertical="center"/>
    </xf>
    <xf numFmtId="0" fontId="35" fillId="0" borderId="1" xfId="0" applyFont="1" applyBorder="1" applyAlignment="1">
      <alignment horizontal="center"/>
    </xf>
    <xf numFmtId="0" fontId="36" fillId="0" borderId="2" xfId="0" applyFont="1" applyBorder="1" applyAlignment="1">
      <alignment horizontal="center"/>
    </xf>
    <xf numFmtId="0" fontId="36" fillId="0" borderId="3" xfId="0" applyFont="1" applyBorder="1" applyAlignment="1">
      <alignment horizontal="center"/>
    </xf>
    <xf numFmtId="167" fontId="34" fillId="6" borderId="1" xfId="1" applyNumberFormat="1" applyFont="1" applyFill="1" applyBorder="1" applyAlignment="1" applyProtection="1">
      <alignment horizontal="right" vertical="center"/>
    </xf>
    <xf numFmtId="168" fontId="34" fillId="6" borderId="3" xfId="0" applyNumberFormat="1" applyFont="1" applyFill="1" applyBorder="1" applyAlignment="1" applyProtection="1">
      <alignment vertical="center"/>
    </xf>
  </cellXfs>
  <cellStyles count="11">
    <cellStyle name="Normal" xfId="0" builtinId="0"/>
    <cellStyle name="Normal 2" xfId="2"/>
    <cellStyle name="Normal 3" xfId="3"/>
    <cellStyle name="Normal 4" xfId="4"/>
    <cellStyle name="Normal 5" xfId="5"/>
    <cellStyle name="Normal 5 2" xfId="6"/>
    <cellStyle name="Normal 5 2 2" xfId="7"/>
    <cellStyle name="Normal 6" xfId="8"/>
    <cellStyle name="Percent" xfId="1" builtinId="5"/>
    <cellStyle name="Percent 2" xfId="9"/>
    <cellStyle name="Percent 3" xfId="10"/>
  </cellStyles>
  <dxfs count="27">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baseline="0"/>
              <a:t>Control Chart for Effective Area Value (mm</a:t>
            </a:r>
            <a:r>
              <a:rPr lang="en-US" baseline="30000"/>
              <a:t>2</a:t>
            </a:r>
            <a:r>
              <a:rPr lang="en-US" baseline="0"/>
              <a:t>)</a:t>
            </a:r>
            <a:endParaRPr lang="en-US"/>
          </a:p>
        </c:rich>
      </c:tx>
      <c:overlay val="0"/>
    </c:title>
    <c:autoTitleDeleted val="0"/>
    <c:plotArea>
      <c:layout/>
      <c:lineChart>
        <c:grouping val="standard"/>
        <c:varyColors val="0"/>
        <c:ser>
          <c:idx val="0"/>
          <c:order val="0"/>
          <c:tx>
            <c:v>Measured Values</c:v>
          </c:tx>
          <c:spPr>
            <a:ln>
              <a:noFill/>
            </a:ln>
          </c:spPr>
          <c:errBars>
            <c:errDir val="y"/>
            <c:errBarType val="both"/>
            <c:errValType val="cust"/>
            <c:noEndCap val="0"/>
            <c:plus>
              <c:numRef>
                <c:f>Historical_Ae!$D$9:$D$26</c:f>
                <c:numCache>
                  <c:formatCode>General</c:formatCode>
                  <c:ptCount val="18"/>
                  <c:pt idx="0">
                    <c:v>7.84306656E-4</c:v>
                  </c:pt>
                  <c:pt idx="1">
                    <c:v>7.8431099200000002E-4</c:v>
                  </c:pt>
                  <c:pt idx="2">
                    <c:v>7.8430264E-4</c:v>
                  </c:pt>
                  <c:pt idx="3">
                    <c:v>4.9019128000000003E-4</c:v>
                  </c:pt>
                  <c:pt idx="4">
                    <c:v>4.9019176000000006E-4</c:v>
                  </c:pt>
                  <c:pt idx="5">
                    <c:v>3.9215134400000001E-4</c:v>
                  </c:pt>
                  <c:pt idx="6">
                    <c:v>3.92152488E-4</c:v>
                  </c:pt>
                  <c:pt idx="7">
                    <c:v>3.9215283199999998E-4</c:v>
                  </c:pt>
                  <c:pt idx="8">
                    <c:v>3.9215320000000003E-4</c:v>
                  </c:pt>
                </c:numCache>
              </c:numRef>
            </c:plus>
            <c:minus>
              <c:numRef>
                <c:f>Historical_Ae!$D$9:$D$26</c:f>
                <c:numCache>
                  <c:formatCode>General</c:formatCode>
                  <c:ptCount val="18"/>
                  <c:pt idx="0">
                    <c:v>7.84306656E-4</c:v>
                  </c:pt>
                  <c:pt idx="1">
                    <c:v>7.8431099200000002E-4</c:v>
                  </c:pt>
                  <c:pt idx="2">
                    <c:v>7.8430264E-4</c:v>
                  </c:pt>
                  <c:pt idx="3">
                    <c:v>4.9019128000000003E-4</c:v>
                  </c:pt>
                  <c:pt idx="4">
                    <c:v>4.9019176000000006E-4</c:v>
                  </c:pt>
                  <c:pt idx="5">
                    <c:v>3.9215134400000001E-4</c:v>
                  </c:pt>
                  <c:pt idx="6">
                    <c:v>3.92152488E-4</c:v>
                  </c:pt>
                  <c:pt idx="7">
                    <c:v>3.9215283199999998E-4</c:v>
                  </c:pt>
                  <c:pt idx="8">
                    <c:v>3.9215320000000003E-4</c:v>
                  </c:pt>
                </c:numCache>
              </c:numRef>
            </c:minus>
          </c:errBars>
          <c:cat>
            <c:numRef>
              <c:f>Historical_Ae!$A$9:$A$25</c:f>
              <c:numCache>
                <c:formatCode>m/d/yyyy</c:formatCode>
                <c:ptCount val="17"/>
                <c:pt idx="0">
                  <c:v>36466</c:v>
                </c:pt>
                <c:pt idx="1">
                  <c:v>36839</c:v>
                </c:pt>
                <c:pt idx="2">
                  <c:v>37207</c:v>
                </c:pt>
                <c:pt idx="3">
                  <c:v>37937</c:v>
                </c:pt>
                <c:pt idx="4">
                  <c:v>38670</c:v>
                </c:pt>
                <c:pt idx="5">
                  <c:v>39573</c:v>
                </c:pt>
                <c:pt idx="6">
                  <c:v>40305</c:v>
                </c:pt>
                <c:pt idx="7">
                  <c:v>41039</c:v>
                </c:pt>
                <c:pt idx="8">
                  <c:v>41772</c:v>
                </c:pt>
              </c:numCache>
            </c:numRef>
          </c:cat>
          <c:val>
            <c:numRef>
              <c:f>Historical_Ae!$B$9:$B$25</c:f>
              <c:numCache>
                <c:formatCode>0.0000000</c:formatCode>
                <c:ptCount val="17"/>
                <c:pt idx="0">
                  <c:v>49.019165999999998</c:v>
                </c:pt>
                <c:pt idx="1">
                  <c:v>49.019437000000003</c:v>
                </c:pt>
                <c:pt idx="2">
                  <c:v>49.018915</c:v>
                </c:pt>
                <c:pt idx="3" formatCode="0.000000">
                  <c:v>49.019128000000002</c:v>
                </c:pt>
                <c:pt idx="4" formatCode="0.000000">
                  <c:v>49.019176000000002</c:v>
                </c:pt>
                <c:pt idx="5" formatCode="0.000000">
                  <c:v>49.018917999999999</c:v>
                </c:pt>
                <c:pt idx="6" formatCode="0.000000">
                  <c:v>49.019061000000001</c:v>
                </c:pt>
                <c:pt idx="7" formatCode="0.000000">
                  <c:v>49.019103999999999</c:v>
                </c:pt>
                <c:pt idx="8" formatCode="0.000000">
                  <c:v>49.019150000000003</c:v>
                </c:pt>
              </c:numCache>
            </c:numRef>
          </c:val>
          <c:smooth val="0"/>
          <c:extLst>
            <c:ext xmlns:c16="http://schemas.microsoft.com/office/drawing/2014/chart" uri="{C3380CC4-5D6E-409C-BE32-E72D297353CC}">
              <c16:uniqueId val="{00000000-0A24-4847-8868-0DC3B4166991}"/>
            </c:ext>
          </c:extLst>
        </c:ser>
        <c:ser>
          <c:idx val="1"/>
          <c:order val="1"/>
          <c:tx>
            <c:v>Upper Bound</c:v>
          </c:tx>
          <c:spPr>
            <a:ln w="28575">
              <a:solidFill>
                <a:srgbClr val="FFC000"/>
              </a:solidFill>
            </a:ln>
          </c:spPr>
          <c:marker>
            <c:symbol val="none"/>
          </c:marker>
          <c:val>
            <c:numRef>
              <c:f>Historical_Ae!$G$9:$G$25</c:f>
              <c:numCache>
                <c:formatCode>General</c:formatCode>
                <c:ptCount val="17"/>
                <c:pt idx="0">
                  <c:v>49.019534469119066</c:v>
                </c:pt>
                <c:pt idx="1">
                  <c:v>49.019518718073066</c:v>
                </c:pt>
                <c:pt idx="2">
                  <c:v>49.019504365088913</c:v>
                </c:pt>
                <c:pt idx="3">
                  <c:v>49.019479643764853</c:v>
                </c:pt>
                <c:pt idx="4">
                  <c:v>49.019460171976654</c:v>
                </c:pt>
                <c:pt idx="5">
                  <c:v>49.019443832234671</c:v>
                </c:pt>
                <c:pt idx="6">
                  <c:v>49.019436672113244</c:v>
                </c:pt>
                <c:pt idx="7">
                  <c:v>49.019434587696836</c:v>
                </c:pt>
                <c:pt idx="8">
                  <c:v>49.019437071167737</c:v>
                </c:pt>
              </c:numCache>
            </c:numRef>
          </c:val>
          <c:smooth val="0"/>
          <c:extLst>
            <c:ext xmlns:c16="http://schemas.microsoft.com/office/drawing/2014/chart" uri="{C3380CC4-5D6E-409C-BE32-E72D297353CC}">
              <c16:uniqueId val="{00000001-0A24-4847-8868-0DC3B4166991}"/>
            </c:ext>
          </c:extLst>
        </c:ser>
        <c:ser>
          <c:idx val="2"/>
          <c:order val="2"/>
          <c:tx>
            <c:v>Lower Bound</c:v>
          </c:tx>
          <c:spPr>
            <a:ln w="28575">
              <a:solidFill>
                <a:schemeClr val="accent1"/>
              </a:solidFill>
            </a:ln>
          </c:spPr>
          <c:marker>
            <c:symbol val="none"/>
          </c:marker>
          <c:val>
            <c:numRef>
              <c:f>Historical_Ae!$H$9:$H$25</c:f>
              <c:numCache>
                <c:formatCode>General</c:formatCode>
                <c:ptCount val="17"/>
                <c:pt idx="0">
                  <c:v>49.018799540677975</c:v>
                </c:pt>
                <c:pt idx="1">
                  <c:v>49.018799827631788</c:v>
                </c:pt>
                <c:pt idx="2">
                  <c:v>49.018798923817208</c:v>
                </c:pt>
                <c:pt idx="3">
                  <c:v>49.018793380295961</c:v>
                </c:pt>
                <c:pt idx="4">
                  <c:v>49.018782462862767</c:v>
                </c:pt>
                <c:pt idx="5">
                  <c:v>49.018761365405695</c:v>
                </c:pt>
                <c:pt idx="6">
                  <c:v>49.018738177764419</c:v>
                </c:pt>
                <c:pt idx="7">
                  <c:v>49.018709831500757</c:v>
                </c:pt>
                <c:pt idx="8">
                  <c:v>49.018676958808463</c:v>
                </c:pt>
              </c:numCache>
            </c:numRef>
          </c:val>
          <c:smooth val="0"/>
          <c:extLst>
            <c:ext xmlns:c16="http://schemas.microsoft.com/office/drawing/2014/chart" uri="{C3380CC4-5D6E-409C-BE32-E72D297353CC}">
              <c16:uniqueId val="{00000002-0A24-4847-8868-0DC3B4166991}"/>
            </c:ext>
          </c:extLst>
        </c:ser>
        <c:ser>
          <c:idx val="3"/>
          <c:order val="3"/>
          <c:tx>
            <c:v>Predicted</c:v>
          </c:tx>
          <c:spPr>
            <a:ln w="28575">
              <a:solidFill>
                <a:schemeClr val="accent2"/>
              </a:solidFill>
            </a:ln>
          </c:spPr>
          <c:marker>
            <c:symbol val="none"/>
          </c:marker>
          <c:val>
            <c:numRef>
              <c:f>Historical_Ae!$F$9:$F$25</c:f>
              <c:numCache>
                <c:formatCode>0.0000000</c:formatCode>
                <c:ptCount val="17"/>
                <c:pt idx="0">
                  <c:v>49.01916700489852</c:v>
                </c:pt>
                <c:pt idx="1">
                  <c:v>49.019159272852427</c:v>
                </c:pt>
                <c:pt idx="2">
                  <c:v>49.019151644453061</c:v>
                </c:pt>
                <c:pt idx="3">
                  <c:v>49.019136512030407</c:v>
                </c:pt>
                <c:pt idx="4">
                  <c:v>49.01912131741971</c:v>
                </c:pt>
                <c:pt idx="5">
                  <c:v>49.019102598820183</c:v>
                </c:pt>
                <c:pt idx="6">
                  <c:v>49.019087424938832</c:v>
                </c:pt>
                <c:pt idx="7">
                  <c:v>49.019072209598797</c:v>
                </c:pt>
                <c:pt idx="8">
                  <c:v>49.0190570149881</c:v>
                </c:pt>
              </c:numCache>
            </c:numRef>
          </c:val>
          <c:smooth val="0"/>
          <c:extLst>
            <c:ext xmlns:c16="http://schemas.microsoft.com/office/drawing/2014/chart" uri="{C3380CC4-5D6E-409C-BE32-E72D297353CC}">
              <c16:uniqueId val="{00000003-0A24-4847-8868-0DC3B4166991}"/>
            </c:ext>
          </c:extLst>
        </c:ser>
        <c:dLbls>
          <c:showLegendKey val="0"/>
          <c:showVal val="0"/>
          <c:showCatName val="0"/>
          <c:showSerName val="0"/>
          <c:showPercent val="0"/>
          <c:showBubbleSize val="0"/>
        </c:dLbls>
        <c:marker val="1"/>
        <c:smooth val="0"/>
        <c:axId val="1759108272"/>
        <c:axId val="1759114800"/>
      </c:lineChart>
      <c:catAx>
        <c:axId val="1759108272"/>
        <c:scaling>
          <c:orientation val="minMax"/>
        </c:scaling>
        <c:delete val="0"/>
        <c:axPos val="b"/>
        <c:title>
          <c:tx>
            <c:rich>
              <a:bodyPr/>
              <a:lstStyle/>
              <a:p>
                <a:pPr>
                  <a:defRPr/>
                </a:pPr>
                <a:r>
                  <a:rPr lang="en-US"/>
                  <a:t>DATE</a:t>
                </a:r>
              </a:p>
            </c:rich>
          </c:tx>
          <c:overlay val="0"/>
        </c:title>
        <c:numFmt formatCode="m/d/yyyy" sourceLinked="1"/>
        <c:majorTickMark val="out"/>
        <c:minorTickMark val="cross"/>
        <c:tickLblPos val="low"/>
        <c:txPr>
          <a:bodyPr rot="-2700000" vert="horz" anchor="ctr" anchorCtr="1"/>
          <a:lstStyle/>
          <a:p>
            <a:pPr>
              <a:defRPr/>
            </a:pPr>
            <a:endParaRPr lang="en-US"/>
          </a:p>
        </c:txPr>
        <c:crossAx val="1759114800"/>
        <c:crosses val="autoZero"/>
        <c:auto val="0"/>
        <c:lblAlgn val="ctr"/>
        <c:lblOffset val="100"/>
        <c:noMultiLvlLbl val="0"/>
      </c:catAx>
      <c:valAx>
        <c:axId val="1759114800"/>
        <c:scaling>
          <c:orientation val="minMax"/>
        </c:scaling>
        <c:delete val="0"/>
        <c:axPos val="l"/>
        <c:majorGridlines/>
        <c:title>
          <c:tx>
            <c:rich>
              <a:bodyPr rot="-5400000" vert="horz"/>
              <a:lstStyle/>
              <a:p>
                <a:pPr>
                  <a:defRPr/>
                </a:pPr>
                <a:r>
                  <a:rPr lang="en-US" baseline="0"/>
                  <a:t>mm</a:t>
                </a:r>
                <a:r>
                  <a:rPr lang="en-US" baseline="30000"/>
                  <a:t>2</a:t>
                </a:r>
                <a:endParaRPr lang="en-US"/>
              </a:p>
            </c:rich>
          </c:tx>
          <c:overlay val="0"/>
        </c:title>
        <c:numFmt formatCode="0.0000" sourceLinked="0"/>
        <c:majorTickMark val="out"/>
        <c:minorTickMark val="none"/>
        <c:tickLblPos val="nextTo"/>
        <c:crossAx val="1759108272"/>
        <c:crosses val="autoZero"/>
        <c:crossBetween val="midCat"/>
      </c:valAx>
    </c:plotArea>
    <c:legend>
      <c:legendPos val="r"/>
      <c:overlay val="0"/>
    </c:legend>
    <c:plotVisOnly val="0"/>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baseline="0"/>
              <a:t>Control Chart for Piston Mass</a:t>
            </a:r>
            <a:endParaRPr lang="en-US"/>
          </a:p>
        </c:rich>
      </c:tx>
      <c:overlay val="0"/>
    </c:title>
    <c:autoTitleDeleted val="0"/>
    <c:plotArea>
      <c:layout/>
      <c:lineChart>
        <c:grouping val="standard"/>
        <c:varyColors val="0"/>
        <c:ser>
          <c:idx val="0"/>
          <c:order val="0"/>
          <c:tx>
            <c:v>Measured Values</c:v>
          </c:tx>
          <c:spPr>
            <a:ln>
              <a:noFill/>
            </a:ln>
          </c:spPr>
          <c:errBars>
            <c:errDir val="y"/>
            <c:errBarType val="both"/>
            <c:errValType val="cust"/>
            <c:noEndCap val="0"/>
            <c:plus>
              <c:numRef>
                <c:f>Historical_PCmass!$D$9:$D$26</c:f>
                <c:numCache>
                  <c:formatCode>General</c:formatCode>
                  <c:ptCount val="18"/>
                  <c:pt idx="0">
                    <c:v>3.0000000000000001E-3</c:v>
                  </c:pt>
                  <c:pt idx="1">
                    <c:v>3.0000000000000001E-3</c:v>
                  </c:pt>
                  <c:pt idx="2">
                    <c:v>3.0000000000000001E-3</c:v>
                  </c:pt>
                  <c:pt idx="3">
                    <c:v>3.0000000000000001E-3</c:v>
                  </c:pt>
                  <c:pt idx="4">
                    <c:v>3.0000000000000001E-3</c:v>
                  </c:pt>
                  <c:pt idx="5">
                    <c:v>3.0000000000000001E-3</c:v>
                  </c:pt>
                  <c:pt idx="6">
                    <c:v>3.0000000000000001E-3</c:v>
                  </c:pt>
                  <c:pt idx="7">
                    <c:v>3.0000000000000001E-3</c:v>
                  </c:pt>
                  <c:pt idx="8">
                    <c:v>3.0000000000000001E-3</c:v>
                  </c:pt>
                  <c:pt idx="9">
                    <c:v>3.0000000000000001E-3</c:v>
                  </c:pt>
                  <c:pt idx="10">
                    <c:v>3.0000000000000001E-3</c:v>
                  </c:pt>
                  <c:pt idx="11">
                    <c:v>3.0000000000000001E-3</c:v>
                  </c:pt>
                </c:numCache>
              </c:numRef>
            </c:plus>
            <c:minus>
              <c:numRef>
                <c:f>Historical_PCmass!$D$9:$D$26</c:f>
                <c:numCache>
                  <c:formatCode>General</c:formatCode>
                  <c:ptCount val="18"/>
                  <c:pt idx="0">
                    <c:v>3.0000000000000001E-3</c:v>
                  </c:pt>
                  <c:pt idx="1">
                    <c:v>3.0000000000000001E-3</c:v>
                  </c:pt>
                  <c:pt idx="2">
                    <c:v>3.0000000000000001E-3</c:v>
                  </c:pt>
                  <c:pt idx="3">
                    <c:v>3.0000000000000001E-3</c:v>
                  </c:pt>
                  <c:pt idx="4">
                    <c:v>3.0000000000000001E-3</c:v>
                  </c:pt>
                  <c:pt idx="5">
                    <c:v>3.0000000000000001E-3</c:v>
                  </c:pt>
                  <c:pt idx="6">
                    <c:v>3.0000000000000001E-3</c:v>
                  </c:pt>
                  <c:pt idx="7">
                    <c:v>3.0000000000000001E-3</c:v>
                  </c:pt>
                  <c:pt idx="8">
                    <c:v>3.0000000000000001E-3</c:v>
                  </c:pt>
                  <c:pt idx="9">
                    <c:v>3.0000000000000001E-3</c:v>
                  </c:pt>
                  <c:pt idx="10">
                    <c:v>3.0000000000000001E-3</c:v>
                  </c:pt>
                  <c:pt idx="11">
                    <c:v>3.0000000000000001E-3</c:v>
                  </c:pt>
                </c:numCache>
              </c:numRef>
            </c:minus>
          </c:errBars>
          <c:cat>
            <c:numRef>
              <c:f>Historical_PCmass!$A$9:$A$25</c:f>
              <c:numCache>
                <c:formatCode>m/d/yyyy</c:formatCode>
                <c:ptCount val="17"/>
                <c:pt idx="0">
                  <c:v>36466</c:v>
                </c:pt>
                <c:pt idx="1">
                  <c:v>36839</c:v>
                </c:pt>
                <c:pt idx="2">
                  <c:v>37207</c:v>
                </c:pt>
                <c:pt idx="3">
                  <c:v>37937</c:v>
                </c:pt>
                <c:pt idx="4">
                  <c:v>38296</c:v>
                </c:pt>
                <c:pt idx="5">
                  <c:v>38670</c:v>
                </c:pt>
                <c:pt idx="6">
                  <c:v>39030</c:v>
                </c:pt>
                <c:pt idx="7">
                  <c:v>39573</c:v>
                </c:pt>
                <c:pt idx="8">
                  <c:v>40305</c:v>
                </c:pt>
                <c:pt idx="9">
                  <c:v>40667</c:v>
                </c:pt>
                <c:pt idx="10">
                  <c:v>41039</c:v>
                </c:pt>
                <c:pt idx="11">
                  <c:v>41772</c:v>
                </c:pt>
              </c:numCache>
            </c:numRef>
          </c:cat>
          <c:val>
            <c:numRef>
              <c:f>Historical_PCmass!$B$9:$B$25</c:f>
              <c:numCache>
                <c:formatCode>General</c:formatCode>
                <c:ptCount val="17"/>
                <c:pt idx="0">
                  <c:v>199.99719999999999</c:v>
                </c:pt>
                <c:pt idx="1">
                  <c:v>199.994</c:v>
                </c:pt>
                <c:pt idx="2">
                  <c:v>199.99189999999999</c:v>
                </c:pt>
                <c:pt idx="3">
                  <c:v>199.989</c:v>
                </c:pt>
                <c:pt idx="4">
                  <c:v>199.98759999999999</c:v>
                </c:pt>
                <c:pt idx="5">
                  <c:v>199.98740000000001</c:v>
                </c:pt>
                <c:pt idx="6">
                  <c:v>199.98699999999999</c:v>
                </c:pt>
                <c:pt idx="7">
                  <c:v>199.9853</c:v>
                </c:pt>
                <c:pt idx="8">
                  <c:v>199.98400000000001</c:v>
                </c:pt>
                <c:pt idx="9">
                  <c:v>199.98429999999999</c:v>
                </c:pt>
                <c:pt idx="10">
                  <c:v>199.9838</c:v>
                </c:pt>
                <c:pt idx="11">
                  <c:v>199.98349999999999</c:v>
                </c:pt>
              </c:numCache>
            </c:numRef>
          </c:val>
          <c:smooth val="0"/>
          <c:extLst>
            <c:ext xmlns:c16="http://schemas.microsoft.com/office/drawing/2014/chart" uri="{C3380CC4-5D6E-409C-BE32-E72D297353CC}">
              <c16:uniqueId val="{00000000-9A64-4B1E-B77E-57CF361CED94}"/>
            </c:ext>
          </c:extLst>
        </c:ser>
        <c:ser>
          <c:idx val="1"/>
          <c:order val="1"/>
          <c:tx>
            <c:v>Upper Bound</c:v>
          </c:tx>
          <c:spPr>
            <a:ln w="28575">
              <a:solidFill>
                <a:srgbClr val="FFC000"/>
              </a:solidFill>
            </a:ln>
          </c:spPr>
          <c:marker>
            <c:symbol val="none"/>
          </c:marker>
          <c:val>
            <c:numRef>
              <c:f>Historical_PCmass!$G$9:$G$25</c:f>
              <c:numCache>
                <c:formatCode>General</c:formatCode>
                <c:ptCount val="17"/>
                <c:pt idx="0">
                  <c:v>199.99767165506799</c:v>
                </c:pt>
                <c:pt idx="1">
                  <c:v>199.99670399816171</c:v>
                </c:pt>
                <c:pt idx="2">
                  <c:v>199.99576040064568</c:v>
                </c:pt>
                <c:pt idx="3">
                  <c:v>199.99392356629664</c:v>
                </c:pt>
                <c:pt idx="4">
                  <c:v>199.99303826333656</c:v>
                </c:pt>
                <c:pt idx="5">
                  <c:v>199.99212909451842</c:v>
                </c:pt>
                <c:pt idx="6">
                  <c:v>199.99126680372083</c:v>
                </c:pt>
                <c:pt idx="7">
                  <c:v>199.98999009521972</c:v>
                </c:pt>
                <c:pt idx="8">
                  <c:v>199.9883136835069</c:v>
                </c:pt>
                <c:pt idx="9">
                  <c:v>199.98750283909203</c:v>
                </c:pt>
                <c:pt idx="10">
                  <c:v>199.98668147103663</c:v>
                </c:pt>
                <c:pt idx="11">
                  <c:v>199.98509578542925</c:v>
                </c:pt>
              </c:numCache>
            </c:numRef>
          </c:val>
          <c:smooth val="0"/>
          <c:extLst>
            <c:ext xmlns:c16="http://schemas.microsoft.com/office/drawing/2014/chart" uri="{C3380CC4-5D6E-409C-BE32-E72D297353CC}">
              <c16:uniqueId val="{00000001-9A64-4B1E-B77E-57CF361CED94}"/>
            </c:ext>
          </c:extLst>
        </c:ser>
        <c:ser>
          <c:idx val="2"/>
          <c:order val="2"/>
          <c:tx>
            <c:v>Lower Bound</c:v>
          </c:tx>
          <c:spPr>
            <a:ln w="28575">
              <a:solidFill>
                <a:schemeClr val="accent1"/>
              </a:solidFill>
            </a:ln>
          </c:spPr>
          <c:marker>
            <c:symbol val="none"/>
          </c:marker>
          <c:val>
            <c:numRef>
              <c:f>Historical_PCmass!$H$9:$H$25</c:f>
              <c:numCache>
                <c:formatCode>General</c:formatCode>
                <c:ptCount val="17"/>
                <c:pt idx="0">
                  <c:v>199.9901557721507</c:v>
                </c:pt>
                <c:pt idx="1">
                  <c:v>199.98934629097789</c:v>
                </c:pt>
                <c:pt idx="2">
                  <c:v>199.98853657264112</c:v>
                </c:pt>
                <c:pt idx="3">
                  <c:v>199.98689536195604</c:v>
                </c:pt>
                <c:pt idx="4">
                  <c:v>199.98607022907058</c:v>
                </c:pt>
                <c:pt idx="5">
                  <c:v>199.98519749536439</c:v>
                </c:pt>
                <c:pt idx="6">
                  <c:v>199.98434458587118</c:v>
                </c:pt>
                <c:pt idx="7">
                  <c:v>199.98303420060031</c:v>
                </c:pt>
                <c:pt idx="8">
                  <c:v>199.98122303838855</c:v>
                </c:pt>
                <c:pt idx="9">
                  <c:v>199.9803091536221</c:v>
                </c:pt>
                <c:pt idx="10">
                  <c:v>199.9793581480437</c:v>
                </c:pt>
                <c:pt idx="11">
                  <c:v>199.9774514952812</c:v>
                </c:pt>
              </c:numCache>
            </c:numRef>
          </c:val>
          <c:smooth val="0"/>
          <c:extLst>
            <c:ext xmlns:c16="http://schemas.microsoft.com/office/drawing/2014/chart" uri="{C3380CC4-5D6E-409C-BE32-E72D297353CC}">
              <c16:uniqueId val="{00000002-9A64-4B1E-B77E-57CF361CED94}"/>
            </c:ext>
          </c:extLst>
        </c:ser>
        <c:ser>
          <c:idx val="3"/>
          <c:order val="3"/>
          <c:tx>
            <c:v>Predicted</c:v>
          </c:tx>
          <c:spPr>
            <a:ln w="28575">
              <a:solidFill>
                <a:schemeClr val="accent2"/>
              </a:solidFill>
            </a:ln>
          </c:spPr>
          <c:marker>
            <c:symbol val="none"/>
          </c:marker>
          <c:val>
            <c:numRef>
              <c:f>Historical_PCmass!$F$9:$F$25</c:f>
              <c:numCache>
                <c:formatCode>0.0000000</c:formatCode>
                <c:ptCount val="17"/>
                <c:pt idx="0">
                  <c:v>199.99391371360934</c:v>
                </c:pt>
                <c:pt idx="1">
                  <c:v>199.9930251445698</c:v>
                </c:pt>
                <c:pt idx="2">
                  <c:v>199.9921484866434</c:v>
                </c:pt>
                <c:pt idx="3">
                  <c:v>199.99040946412634</c:v>
                </c:pt>
                <c:pt idx="4">
                  <c:v>199.98955424620357</c:v>
                </c:pt>
                <c:pt idx="5">
                  <c:v>199.9886632949414</c:v>
                </c:pt>
                <c:pt idx="6">
                  <c:v>199.98780569479601</c:v>
                </c:pt>
                <c:pt idx="7">
                  <c:v>199.98651214791002</c:v>
                </c:pt>
                <c:pt idx="8">
                  <c:v>199.98476836094773</c:v>
                </c:pt>
                <c:pt idx="9">
                  <c:v>199.98390599635707</c:v>
                </c:pt>
                <c:pt idx="10">
                  <c:v>199.98301980954017</c:v>
                </c:pt>
                <c:pt idx="11">
                  <c:v>199.98127364035523</c:v>
                </c:pt>
              </c:numCache>
            </c:numRef>
          </c:val>
          <c:smooth val="0"/>
          <c:extLst>
            <c:ext xmlns:c16="http://schemas.microsoft.com/office/drawing/2014/chart" uri="{C3380CC4-5D6E-409C-BE32-E72D297353CC}">
              <c16:uniqueId val="{00000003-9A64-4B1E-B77E-57CF361CED94}"/>
            </c:ext>
          </c:extLst>
        </c:ser>
        <c:dLbls>
          <c:showLegendKey val="0"/>
          <c:showVal val="0"/>
          <c:showCatName val="0"/>
          <c:showSerName val="0"/>
          <c:showPercent val="0"/>
          <c:showBubbleSize val="0"/>
        </c:dLbls>
        <c:marker val="1"/>
        <c:smooth val="0"/>
        <c:axId val="1759113712"/>
        <c:axId val="1759122416"/>
      </c:lineChart>
      <c:catAx>
        <c:axId val="1759113712"/>
        <c:scaling>
          <c:orientation val="minMax"/>
        </c:scaling>
        <c:delete val="0"/>
        <c:axPos val="b"/>
        <c:title>
          <c:tx>
            <c:rich>
              <a:bodyPr/>
              <a:lstStyle/>
              <a:p>
                <a:pPr>
                  <a:defRPr/>
                </a:pPr>
                <a:r>
                  <a:rPr lang="en-US"/>
                  <a:t>DATE</a:t>
                </a:r>
              </a:p>
            </c:rich>
          </c:tx>
          <c:overlay val="0"/>
        </c:title>
        <c:numFmt formatCode="m/d/yyyy" sourceLinked="1"/>
        <c:majorTickMark val="out"/>
        <c:minorTickMark val="cross"/>
        <c:tickLblPos val="low"/>
        <c:txPr>
          <a:bodyPr rot="-2700000" vert="horz" anchor="ctr" anchorCtr="1"/>
          <a:lstStyle/>
          <a:p>
            <a:pPr>
              <a:defRPr/>
            </a:pPr>
            <a:endParaRPr lang="en-US"/>
          </a:p>
        </c:txPr>
        <c:crossAx val="1759122416"/>
        <c:crosses val="autoZero"/>
        <c:auto val="0"/>
        <c:lblAlgn val="ctr"/>
        <c:lblOffset val="100"/>
        <c:noMultiLvlLbl val="0"/>
      </c:catAx>
      <c:valAx>
        <c:axId val="1759122416"/>
        <c:scaling>
          <c:orientation val="minMax"/>
        </c:scaling>
        <c:delete val="0"/>
        <c:axPos val="l"/>
        <c:majorGridlines/>
        <c:title>
          <c:tx>
            <c:rich>
              <a:bodyPr rot="-5400000" vert="horz"/>
              <a:lstStyle/>
              <a:p>
                <a:pPr>
                  <a:defRPr/>
                </a:pPr>
                <a:r>
                  <a:rPr lang="en-US" baseline="0"/>
                  <a:t>mm</a:t>
                </a:r>
                <a:r>
                  <a:rPr lang="en-US" baseline="30000"/>
                  <a:t>2</a:t>
                </a:r>
                <a:endParaRPr lang="en-US"/>
              </a:p>
            </c:rich>
          </c:tx>
          <c:overlay val="0"/>
        </c:title>
        <c:numFmt formatCode="0.0000" sourceLinked="0"/>
        <c:majorTickMark val="out"/>
        <c:minorTickMark val="none"/>
        <c:tickLblPos val="nextTo"/>
        <c:crossAx val="1759113712"/>
        <c:crosses val="autoZero"/>
        <c:crossBetween val="midCat"/>
      </c:valAx>
    </c:plotArea>
    <c:legend>
      <c:legendPos val="r"/>
      <c:overlay val="0"/>
    </c:legend>
    <c:plotVisOnly val="0"/>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8</xdr:col>
      <xdr:colOff>74611</xdr:colOff>
      <xdr:row>5</xdr:row>
      <xdr:rowOff>3175</xdr:rowOff>
    </xdr:from>
    <xdr:to>
      <xdr:col>19</xdr:col>
      <xdr:colOff>249236</xdr:colOff>
      <xdr:row>33</xdr:row>
      <xdr:rowOff>76200</xdr:rowOff>
    </xdr:to>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74611</xdr:colOff>
      <xdr:row>5</xdr:row>
      <xdr:rowOff>3175</xdr:rowOff>
    </xdr:from>
    <xdr:to>
      <xdr:col>19</xdr:col>
      <xdr:colOff>249236</xdr:colOff>
      <xdr:row>33</xdr:row>
      <xdr:rowOff>76200</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CalRep\Grponly\QMS\Uncertainty%20Analysis\Pressure\Ref_docs\CHAIN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910262_000"/>
      <sheetName val="1161"/>
      <sheetName val="Area - Pressure 407"/>
      <sheetName val="cylinder407"/>
      <sheetName val="piston407"/>
      <sheetName val="407calc"/>
      <sheetName val="ratstab"/>
      <sheetName val="chain2012"/>
      <sheetName val="chainUNC2012"/>
      <sheetName val="chain2010"/>
      <sheetName val="chainUNC2010"/>
      <sheetName val="CHAIN2004"/>
      <sheetName val="chainUNC2004"/>
      <sheetName val="CHAIN2001"/>
      <sheetName val="chainUNC2001"/>
      <sheetName val="CHAIN98"/>
      <sheetName val="GASCHAIN"/>
      <sheetName val="chainUNC"/>
      <sheetName val="CHAIN95"/>
      <sheetName val="traceability"/>
      <sheetName val="stab10kPa"/>
      <sheetName val="stab50kPa"/>
      <sheetName val="stab2bar"/>
      <sheetName val="stab5bar"/>
      <sheetName val="stab10bar"/>
      <sheetName val="stab20bar"/>
      <sheetName val="stab50ba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
          <cell r="K2">
            <v>9.8050300000000004</v>
          </cell>
        </row>
        <row r="5">
          <cell r="M5">
            <v>9.8052966968159989</v>
          </cell>
        </row>
      </sheetData>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60"/>
  <sheetViews>
    <sheetView showGridLines="0" tabSelected="1" zoomScale="80" zoomScaleNormal="80" workbookViewId="0">
      <selection activeCell="B2" sqref="B2"/>
    </sheetView>
  </sheetViews>
  <sheetFormatPr defaultColWidth="9.1796875" defaultRowHeight="14.5" x14ac:dyDescent="0.35"/>
  <cols>
    <col min="1" max="1" width="26.81640625" style="1" customWidth="1"/>
    <col min="2" max="2" width="9.54296875" style="1" bestFit="1" customWidth="1"/>
    <col min="3" max="3" width="13" style="1" customWidth="1"/>
    <col min="4" max="4" width="9.1796875" style="1"/>
    <col min="5" max="5" width="17.7265625" style="1" customWidth="1"/>
    <col min="6" max="6" width="7.453125" style="1" customWidth="1"/>
    <col min="7" max="7" width="15.54296875" style="1" customWidth="1"/>
    <col min="8" max="8" width="20" style="1" bestFit="1" customWidth="1"/>
    <col min="9" max="9" width="15.26953125" style="1" customWidth="1"/>
    <col min="10" max="10" width="15.81640625" style="1" customWidth="1"/>
    <col min="11" max="11" width="19.81640625" style="1" customWidth="1"/>
    <col min="12" max="12" width="15.1796875" style="1" customWidth="1"/>
    <col min="13" max="13" width="12.81640625" style="1" customWidth="1"/>
    <col min="14" max="14" width="9.1796875" style="102"/>
    <col min="15" max="15" width="10.7265625" style="1" bestFit="1" customWidth="1"/>
    <col min="16" max="16" width="11.54296875" style="1" customWidth="1"/>
    <col min="17" max="16384" width="9.1796875" style="1"/>
  </cols>
  <sheetData>
    <row r="1" spans="1:16" ht="18.75" customHeight="1" thickBot="1" x14ac:dyDescent="0.4">
      <c r="A1" s="268" t="s">
        <v>55</v>
      </c>
      <c r="B1" s="269"/>
      <c r="C1" s="269"/>
      <c r="D1" s="269"/>
      <c r="E1" s="269"/>
      <c r="F1" s="269"/>
      <c r="G1" s="269"/>
      <c r="H1" s="269"/>
      <c r="I1" s="270"/>
      <c r="J1" s="268" t="s">
        <v>126</v>
      </c>
      <c r="K1" s="269"/>
      <c r="L1" s="269"/>
      <c r="M1" s="269"/>
      <c r="N1" s="269"/>
      <c r="O1" s="269"/>
      <c r="P1" s="270"/>
    </row>
    <row r="2" spans="1:16" ht="18.75" customHeight="1" x14ac:dyDescent="0.35">
      <c r="A2" s="2" t="s">
        <v>154</v>
      </c>
      <c r="B2" s="144">
        <f>I10</f>
        <v>689475.90867753688</v>
      </c>
      <c r="C2" s="3" t="s">
        <v>50</v>
      </c>
      <c r="D2" s="191">
        <f>B2*0.0001450377</f>
        <v>100</v>
      </c>
      <c r="E2" s="3" t="s">
        <v>72</v>
      </c>
      <c r="F2" s="3" t="s">
        <v>128</v>
      </c>
      <c r="G2" s="168">
        <f>IF(B3=1,B2,B2+C33)</f>
        <v>689475.90867753688</v>
      </c>
      <c r="H2" s="169" t="s">
        <v>153</v>
      </c>
      <c r="I2" s="119">
        <v>7000</v>
      </c>
      <c r="J2" s="6"/>
      <c r="K2" s="186" t="s">
        <v>152</v>
      </c>
      <c r="L2" s="186" t="str">
        <f>"U("&amp;B10&amp;") (Pa)"</f>
        <v>U(95) (Pa)</v>
      </c>
      <c r="M2" s="186" t="str">
        <f>"U("&amp;B10&amp;") (%Rdg)"</f>
        <v>U(95) (%Rdg)</v>
      </c>
      <c r="N2" s="7"/>
      <c r="O2" s="6"/>
      <c r="P2" s="8"/>
    </row>
    <row r="3" spans="1:16" ht="18.75" customHeight="1" x14ac:dyDescent="0.35">
      <c r="A3" s="9" t="s">
        <v>63</v>
      </c>
      <c r="B3" s="120">
        <v>1</v>
      </c>
      <c r="C3" s="10" t="s">
        <v>64</v>
      </c>
      <c r="D3" s="11"/>
      <c r="E3" s="11"/>
      <c r="F3" s="11"/>
      <c r="G3" s="11"/>
      <c r="H3" s="89" t="s">
        <v>72</v>
      </c>
      <c r="I3" s="190">
        <f>I2*0.0001450377</f>
        <v>1.0152639000000001</v>
      </c>
      <c r="J3" s="165" t="s">
        <v>149</v>
      </c>
      <c r="K3" s="187">
        <f>B2</f>
        <v>689475.90867753688</v>
      </c>
      <c r="L3" s="188">
        <f>M48</f>
        <v>7.9385267731762408</v>
      </c>
      <c r="M3" s="194">
        <f>L3/K3*1000000</f>
        <v>11.513856645699038</v>
      </c>
      <c r="N3" s="271" t="str">
        <f>IF(B3=1,"Absolute by application of vacuum mode",IF(B3=2,"Gauge mode",IF(B3=3,"Absolute by addition of barometric pressure mode","")))</f>
        <v>Absolute by application of vacuum mode</v>
      </c>
      <c r="O3" s="271"/>
      <c r="P3" s="272"/>
    </row>
    <row r="4" spans="1:16" ht="18.75" customHeight="1" x14ac:dyDescent="0.35">
      <c r="A4" s="15" t="str">
        <f>"Media :"&amp;IF(B4=1,"gas",IF(B4=2,"oil",IF(B4=3,"water")))</f>
        <v>Media :gas</v>
      </c>
      <c r="B4" s="121">
        <v>1</v>
      </c>
      <c r="C4" s="13" t="s">
        <v>170</v>
      </c>
      <c r="D4" s="13"/>
      <c r="E4" s="13"/>
      <c r="F4" s="13"/>
      <c r="H4" s="1" t="s">
        <v>165</v>
      </c>
      <c r="I4" s="14"/>
      <c r="J4" s="165" t="s">
        <v>150</v>
      </c>
      <c r="K4" s="187">
        <f>Unccalc2!B2</f>
        <v>344737.95433876844</v>
      </c>
      <c r="L4" s="188">
        <f>Unccalc2!M48</f>
        <v>3.9918664315464847</v>
      </c>
      <c r="M4" s="194">
        <f t="shared" ref="M4:M5" si="0">L4/K4*1000000</f>
        <v>11.579422518774193</v>
      </c>
      <c r="N4" s="271"/>
      <c r="O4" s="271"/>
      <c r="P4" s="272"/>
    </row>
    <row r="5" spans="1:16" ht="18.75" customHeight="1" x14ac:dyDescent="0.35">
      <c r="A5" s="15" t="s">
        <v>95</v>
      </c>
      <c r="B5" s="117">
        <f>C31/C15</f>
        <v>116739.24590445729</v>
      </c>
      <c r="C5" s="13" t="s">
        <v>96</v>
      </c>
      <c r="D5" s="13">
        <f>B5*0.0001450377</f>
        <v>16.931591725716906</v>
      </c>
      <c r="E5" s="13" t="s">
        <v>97</v>
      </c>
      <c r="F5" s="13"/>
      <c r="G5" s="13" t="s">
        <v>122</v>
      </c>
      <c r="H5" s="16"/>
      <c r="I5" s="14"/>
      <c r="J5" s="165" t="s">
        <v>151</v>
      </c>
      <c r="K5" s="187">
        <f>Unccalc3!B2</f>
        <v>7000</v>
      </c>
      <c r="L5" s="188">
        <f>Unccalc3!M48</f>
        <v>0.52226575666421415</v>
      </c>
      <c r="M5" s="194">
        <f t="shared" si="0"/>
        <v>74.609393809173454</v>
      </c>
      <c r="N5" s="271"/>
      <c r="O5" s="271"/>
      <c r="P5" s="272"/>
    </row>
    <row r="6" spans="1:16" ht="18.75" customHeight="1" x14ac:dyDescent="0.35">
      <c r="A6" s="15" t="s">
        <v>118</v>
      </c>
      <c r="B6" s="189">
        <v>916</v>
      </c>
      <c r="C6" s="13" t="s">
        <v>119</v>
      </c>
      <c r="D6" s="13"/>
      <c r="E6" s="13"/>
      <c r="F6" s="13"/>
      <c r="G6" s="13" t="s">
        <v>123</v>
      </c>
      <c r="H6" s="17"/>
      <c r="I6" s="14"/>
      <c r="J6" s="13"/>
      <c r="K6" s="166"/>
      <c r="L6" s="13"/>
      <c r="M6" s="13"/>
      <c r="N6" s="273" t="str">
        <f>IF(AND(B3=1,B4&gt;1),"WARNING: YOU CANNOT HAVE ABSOLUTE MODE BY VAC AND NON GAS MEDIA","")</f>
        <v/>
      </c>
      <c r="O6" s="273"/>
      <c r="P6" s="274"/>
    </row>
    <row r="7" spans="1:16" ht="18.75" customHeight="1" thickBot="1" x14ac:dyDescent="0.4">
      <c r="A7" s="15" t="s">
        <v>111</v>
      </c>
      <c r="B7" s="123">
        <v>0</v>
      </c>
      <c r="C7" s="13" t="s">
        <v>45</v>
      </c>
      <c r="D7" s="18">
        <f>B7/0.254</f>
        <v>0</v>
      </c>
      <c r="E7" s="13" t="s">
        <v>112</v>
      </c>
      <c r="F7" s="13"/>
      <c r="G7" s="13" t="s">
        <v>124</v>
      </c>
      <c r="H7" s="13" t="s">
        <v>125</v>
      </c>
      <c r="I7" s="14"/>
      <c r="J7" s="13"/>
      <c r="K7" s="166"/>
      <c r="L7" s="13"/>
      <c r="M7" s="13"/>
      <c r="N7" s="273"/>
      <c r="O7" s="273"/>
      <c r="P7" s="274"/>
    </row>
    <row r="8" spans="1:16" ht="18.75" customHeight="1" thickBot="1" x14ac:dyDescent="0.4">
      <c r="A8" s="15" t="s">
        <v>79</v>
      </c>
      <c r="B8" s="124">
        <v>23</v>
      </c>
      <c r="C8" s="13" t="s">
        <v>91</v>
      </c>
      <c r="D8" s="13"/>
      <c r="E8" s="13"/>
      <c r="F8" s="13"/>
      <c r="G8" s="13"/>
      <c r="H8" s="13"/>
      <c r="I8" s="14" t="s">
        <v>166</v>
      </c>
      <c r="J8" s="13"/>
      <c r="K8" s="285" t="str">
        <f>TEXT(LINEST(L3:L5,K3:K5,TRUE),"0.0000%")&amp;" of rdg"</f>
        <v>0.0011% of rdg</v>
      </c>
      <c r="L8" s="286" t="str">
        <f>"+ "&amp;TEXT(INTERCEPT(L3:L5,K3:K5),"0.0#")&amp;" Pa"</f>
        <v>+ 0.38 Pa</v>
      </c>
      <c r="N8" s="273"/>
      <c r="O8" s="273"/>
      <c r="P8" s="274"/>
    </row>
    <row r="9" spans="1:16" ht="18.75" customHeight="1" x14ac:dyDescent="0.35">
      <c r="A9" s="15" t="s">
        <v>80</v>
      </c>
      <c r="B9" s="124">
        <v>3</v>
      </c>
      <c r="C9" s="13" t="s">
        <v>171</v>
      </c>
      <c r="D9" s="13"/>
      <c r="E9" s="13"/>
      <c r="F9" s="13"/>
      <c r="G9" s="13"/>
      <c r="H9" s="13"/>
      <c r="I9" s="192">
        <v>100</v>
      </c>
      <c r="J9" s="13"/>
      <c r="K9" s="13"/>
      <c r="L9" s="13"/>
      <c r="M9" s="13"/>
      <c r="N9" s="273"/>
      <c r="O9" s="273"/>
      <c r="P9" s="274"/>
    </row>
    <row r="10" spans="1:16" ht="18.75" customHeight="1" thickBot="1" x14ac:dyDescent="0.4">
      <c r="A10" s="19" t="s">
        <v>81</v>
      </c>
      <c r="B10" s="125">
        <v>95</v>
      </c>
      <c r="C10" s="20" t="s">
        <v>82</v>
      </c>
      <c r="D10" s="20"/>
      <c r="E10" s="20"/>
      <c r="F10" s="20"/>
      <c r="G10" s="20"/>
      <c r="H10" s="20"/>
      <c r="I10" s="193">
        <f>I9/0.0001450377</f>
        <v>689475.90867753688</v>
      </c>
      <c r="J10" s="20"/>
      <c r="K10" s="20"/>
      <c r="L10" s="20"/>
      <c r="M10" s="20"/>
      <c r="N10" s="22"/>
      <c r="O10" s="20"/>
      <c r="P10" s="21"/>
    </row>
    <row r="11" spans="1:16" ht="18.75" customHeight="1" thickBot="1" x14ac:dyDescent="0.4">
      <c r="A11" s="275" t="s">
        <v>0</v>
      </c>
      <c r="B11" s="276"/>
      <c r="C11" s="276"/>
      <c r="D11" s="281"/>
      <c r="E11" s="275" t="s">
        <v>68</v>
      </c>
      <c r="F11" s="276"/>
      <c r="G11" s="276"/>
      <c r="H11" s="276"/>
      <c r="I11" s="276"/>
      <c r="J11" s="270"/>
      <c r="K11" s="265" t="s">
        <v>1</v>
      </c>
      <c r="L11" s="266"/>
      <c r="M11" s="266"/>
      <c r="N11" s="266"/>
      <c r="O11" s="266"/>
      <c r="P11" s="267"/>
    </row>
    <row r="12" spans="1:16" x14ac:dyDescent="0.35">
      <c r="A12" s="23" t="s">
        <v>67</v>
      </c>
      <c r="B12" s="24" t="s">
        <v>2</v>
      </c>
      <c r="C12" s="24" t="s">
        <v>3</v>
      </c>
      <c r="D12" s="25"/>
      <c r="E12" s="277" t="s">
        <v>105</v>
      </c>
      <c r="F12" s="278"/>
      <c r="G12" s="26" t="s">
        <v>104</v>
      </c>
      <c r="H12" s="26" t="s">
        <v>101</v>
      </c>
      <c r="I12" s="24" t="s">
        <v>107</v>
      </c>
      <c r="J12" s="25" t="s">
        <v>4</v>
      </c>
      <c r="K12" s="23" t="s">
        <v>5</v>
      </c>
      <c r="L12" s="24" t="s">
        <v>5</v>
      </c>
      <c r="M12" s="24" t="s">
        <v>6</v>
      </c>
      <c r="N12" s="27" t="s">
        <v>56</v>
      </c>
      <c r="O12" s="24" t="s">
        <v>7</v>
      </c>
      <c r="P12" s="25" t="s">
        <v>54</v>
      </c>
    </row>
    <row r="13" spans="1:16" ht="26.5" thickBot="1" x14ac:dyDescent="0.4">
      <c r="A13" s="23" t="s">
        <v>8</v>
      </c>
      <c r="B13" s="24" t="s">
        <v>9</v>
      </c>
      <c r="C13" s="24" t="s">
        <v>10</v>
      </c>
      <c r="D13" s="25" t="s">
        <v>11</v>
      </c>
      <c r="E13" s="279" t="s">
        <v>120</v>
      </c>
      <c r="F13" s="280"/>
      <c r="G13" s="28" t="s">
        <v>106</v>
      </c>
      <c r="H13" s="28" t="s">
        <v>102</v>
      </c>
      <c r="I13" s="24"/>
      <c r="J13" s="25" t="s">
        <v>12</v>
      </c>
      <c r="K13" s="23" t="s">
        <v>13</v>
      </c>
      <c r="L13" s="24" t="s">
        <v>10</v>
      </c>
      <c r="M13" s="29" t="s">
        <v>85</v>
      </c>
      <c r="N13" s="30" t="s">
        <v>57</v>
      </c>
      <c r="O13" s="29" t="s">
        <v>84</v>
      </c>
      <c r="P13" s="25" t="s">
        <v>74</v>
      </c>
    </row>
    <row r="14" spans="1:16" ht="18.75" customHeight="1" thickBot="1" x14ac:dyDescent="0.4">
      <c r="A14" s="268" t="s">
        <v>14</v>
      </c>
      <c r="B14" s="269"/>
      <c r="C14" s="269"/>
      <c r="D14" s="270"/>
      <c r="E14" s="103"/>
      <c r="F14" s="104"/>
      <c r="G14" s="104"/>
      <c r="H14" s="105"/>
      <c r="I14" s="105"/>
      <c r="J14" s="106"/>
      <c r="K14" s="107"/>
      <c r="L14" s="108"/>
      <c r="M14" s="108"/>
      <c r="N14" s="109"/>
      <c r="O14" s="108"/>
      <c r="P14" s="110"/>
    </row>
    <row r="15" spans="1:16" ht="18.75" customHeight="1" x14ac:dyDescent="0.35">
      <c r="A15" s="31" t="s">
        <v>15</v>
      </c>
      <c r="B15" s="32" t="s">
        <v>169</v>
      </c>
      <c r="C15" s="126">
        <v>8.4004740000000002E-5</v>
      </c>
      <c r="D15" s="33" t="s">
        <v>17</v>
      </c>
      <c r="E15" s="255">
        <v>6.9999999999999996E-10</v>
      </c>
      <c r="F15" s="34" t="str">
        <f>IF(G15=1,"%",IF(G15=2,D15,"ERR"))</f>
        <v>m2</v>
      </c>
      <c r="G15" s="133">
        <v>2</v>
      </c>
      <c r="H15" s="134">
        <v>1</v>
      </c>
      <c r="I15" s="35">
        <f>IF(G15=1,E15/100*C15,E15)</f>
        <v>6.9999999999999996E-10</v>
      </c>
      <c r="J15" s="36">
        <f>IF(H15=1,I15/2,I15/SQRT(3))</f>
        <v>3.4999999999999998E-10</v>
      </c>
      <c r="K15" s="31" t="s">
        <v>87</v>
      </c>
      <c r="L15" s="35">
        <f>1/C15*B$2</f>
        <v>8207583389.669879</v>
      </c>
      <c r="M15" s="37">
        <f>L15*J15</f>
        <v>2.8726541863844575</v>
      </c>
      <c r="N15" s="148">
        <v>30</v>
      </c>
      <c r="O15" s="35">
        <f>M15^2</f>
        <v>8.2521420745521485</v>
      </c>
      <c r="P15" s="38">
        <f>SQRT(O15)/B$2*2000000</f>
        <v>8.3328631217714602</v>
      </c>
    </row>
    <row r="16" spans="1:16" ht="18.75" customHeight="1" x14ac:dyDescent="0.35">
      <c r="A16" s="39" t="s">
        <v>18</v>
      </c>
      <c r="B16" s="40" t="s">
        <v>19</v>
      </c>
      <c r="C16" s="127">
        <v>9.0999999999999993E-6</v>
      </c>
      <c r="D16" s="41" t="s">
        <v>61</v>
      </c>
      <c r="E16" s="130">
        <v>5.0000000000000008E-7</v>
      </c>
      <c r="F16" s="42" t="str">
        <f>IF(G16=1,"%",IF(G16=2,D16,"ERR"))</f>
        <v>°C-1</v>
      </c>
      <c r="G16" s="135">
        <v>2</v>
      </c>
      <c r="H16" s="136">
        <v>2</v>
      </c>
      <c r="I16" s="43">
        <f>IF(G16=1,E16/100*C16,E16)</f>
        <v>5.0000000000000008E-7</v>
      </c>
      <c r="J16" s="44">
        <f>IF(H16=1,I16/2,I16/SQRT(3))</f>
        <v>2.8867513459481294E-7</v>
      </c>
      <c r="K16" s="39" t="s">
        <v>78</v>
      </c>
      <c r="L16" s="43">
        <f>(C18-B8)*B2</f>
        <v>2068427.7260326105</v>
      </c>
      <c r="M16" s="45">
        <f>L16*J16</f>
        <v>0.59710365221210671</v>
      </c>
      <c r="N16" s="145">
        <v>30</v>
      </c>
      <c r="O16" s="43">
        <f t="shared" ref="O16:O45" si="1">M16^2</f>
        <v>0.35653277148503648</v>
      </c>
      <c r="P16" s="46">
        <f>SQRT(O16)/B$2*2000000</f>
        <v>1.7320508075688776</v>
      </c>
    </row>
    <row r="17" spans="1:19" ht="18.75" customHeight="1" x14ac:dyDescent="0.35">
      <c r="A17" s="39" t="s">
        <v>20</v>
      </c>
      <c r="B17" s="40" t="s">
        <v>21</v>
      </c>
      <c r="C17" s="139">
        <v>0</v>
      </c>
      <c r="D17" s="41" t="s">
        <v>61</v>
      </c>
      <c r="E17" s="130">
        <v>2.2749999999999999E-7</v>
      </c>
      <c r="F17" s="42" t="str">
        <f t="shared" ref="F17:F24" si="2">IF(G17=1,"%",IF(G17=2,D17,"ERR"))</f>
        <v>°C-1</v>
      </c>
      <c r="G17" s="135">
        <v>2</v>
      </c>
      <c r="H17" s="136">
        <v>2</v>
      </c>
      <c r="I17" s="43">
        <f t="shared" ref="I17:I24" si="3">IF(G17=1,E17/100*C17,E17)</f>
        <v>2.2749999999999999E-7</v>
      </c>
      <c r="J17" s="44">
        <f t="shared" ref="J17:J45" si="4">IF(H17=1,I17/2,I17/SQRT(3))</f>
        <v>1.3134718624063987E-7</v>
      </c>
      <c r="K17" s="39" t="s">
        <v>78</v>
      </c>
      <c r="L17" s="43">
        <f>(C18-B8)*B2</f>
        <v>2068427.7260326105</v>
      </c>
      <c r="M17" s="45">
        <f t="shared" ref="M17:M24" si="5">L17*J17</f>
        <v>0.2716821617565085</v>
      </c>
      <c r="N17" s="145">
        <v>30</v>
      </c>
      <c r="O17" s="43">
        <f t="shared" si="1"/>
        <v>7.3811197016689645E-2</v>
      </c>
      <c r="P17" s="46">
        <f t="shared" ref="P17:P24" si="6">SQRT(O17)/B$2*2000000</f>
        <v>0.78808311744383908</v>
      </c>
    </row>
    <row r="18" spans="1:19" ht="18.75" customHeight="1" x14ac:dyDescent="0.35">
      <c r="A18" s="39" t="s">
        <v>58</v>
      </c>
      <c r="B18" s="47" t="s">
        <v>59</v>
      </c>
      <c r="C18" s="67">
        <f>B8+B9</f>
        <v>26</v>
      </c>
      <c r="D18" s="48" t="s">
        <v>60</v>
      </c>
      <c r="E18" s="130">
        <v>0.14099999999999999</v>
      </c>
      <c r="F18" s="42" t="str">
        <f t="shared" si="2"/>
        <v>°C</v>
      </c>
      <c r="G18" s="135">
        <v>2</v>
      </c>
      <c r="H18" s="136">
        <v>2</v>
      </c>
      <c r="I18" s="43">
        <f t="shared" si="3"/>
        <v>0.14099999999999999</v>
      </c>
      <c r="J18" s="44">
        <f t="shared" si="4"/>
        <v>8.1406387955737236E-2</v>
      </c>
      <c r="K18" s="39" t="s">
        <v>83</v>
      </c>
      <c r="L18" s="43">
        <f>(C16+C17)*B2</f>
        <v>6.2742307689655847</v>
      </c>
      <c r="M18" s="45">
        <f t="shared" si="5"/>
        <v>0.51076246410223591</v>
      </c>
      <c r="N18" s="145">
        <v>30</v>
      </c>
      <c r="O18" s="43">
        <f t="shared" si="1"/>
        <v>0.26087829473578783</v>
      </c>
      <c r="P18" s="46">
        <f t="shared" si="6"/>
        <v>1.4815962607944173</v>
      </c>
    </row>
    <row r="19" spans="1:19" ht="18.75" customHeight="1" x14ac:dyDescent="0.35">
      <c r="A19" s="39" t="s">
        <v>22</v>
      </c>
      <c r="B19" s="49" t="s">
        <v>98</v>
      </c>
      <c r="C19" s="127">
        <v>0</v>
      </c>
      <c r="D19" s="50" t="s">
        <v>175</v>
      </c>
      <c r="E19" s="131">
        <v>0</v>
      </c>
      <c r="F19" s="42" t="str">
        <f t="shared" si="2"/>
        <v>MPa-1</v>
      </c>
      <c r="G19" s="135">
        <v>2</v>
      </c>
      <c r="H19" s="136">
        <v>1</v>
      </c>
      <c r="I19" s="43">
        <f t="shared" si="3"/>
        <v>0</v>
      </c>
      <c r="J19" s="44">
        <f t="shared" si="4"/>
        <v>0</v>
      </c>
      <c r="K19" s="39" t="s">
        <v>172</v>
      </c>
      <c r="L19" s="43">
        <f>B2^2</f>
        <v>475377028646.71515</v>
      </c>
      <c r="M19" s="45">
        <f>L19*(J19/1000000)</f>
        <v>0</v>
      </c>
      <c r="N19" s="145">
        <v>30</v>
      </c>
      <c r="O19" s="43">
        <f t="shared" si="1"/>
        <v>0</v>
      </c>
      <c r="P19" s="46">
        <f t="shared" si="6"/>
        <v>0</v>
      </c>
      <c r="R19" s="196"/>
      <c r="S19" s="195"/>
    </row>
    <row r="20" spans="1:19" ht="18.75" customHeight="1" x14ac:dyDescent="0.35">
      <c r="A20" s="39" t="s">
        <v>23</v>
      </c>
      <c r="B20" s="49" t="s">
        <v>24</v>
      </c>
      <c r="C20" s="127">
        <v>0</v>
      </c>
      <c r="D20" s="50" t="s">
        <v>176</v>
      </c>
      <c r="E20" s="131">
        <v>0</v>
      </c>
      <c r="F20" s="42" t="str">
        <f t="shared" si="2"/>
        <v>%</v>
      </c>
      <c r="G20" s="135">
        <v>1</v>
      </c>
      <c r="H20" s="136">
        <v>1</v>
      </c>
      <c r="I20" s="43">
        <f t="shared" si="3"/>
        <v>0</v>
      </c>
      <c r="J20" s="44">
        <f t="shared" si="4"/>
        <v>0</v>
      </c>
      <c r="K20" s="39" t="s">
        <v>173</v>
      </c>
      <c r="L20" s="43">
        <f>B2^3</f>
        <v>3.2776100879062138E+17</v>
      </c>
      <c r="M20" s="45">
        <f>L20*(J20/1000000^2)</f>
        <v>0</v>
      </c>
      <c r="N20" s="145">
        <v>30</v>
      </c>
      <c r="O20" s="43">
        <f t="shared" si="1"/>
        <v>0</v>
      </c>
      <c r="P20" s="46">
        <f t="shared" si="6"/>
        <v>0</v>
      </c>
    </row>
    <row r="21" spans="1:19" ht="18.75" customHeight="1" x14ac:dyDescent="0.35">
      <c r="A21" s="39" t="s">
        <v>136</v>
      </c>
      <c r="B21" s="47" t="s">
        <v>103</v>
      </c>
      <c r="C21" s="67">
        <f>B2</f>
        <v>689475.90867753688</v>
      </c>
      <c r="D21" s="50" t="s">
        <v>50</v>
      </c>
      <c r="E21" s="131">
        <v>2.0000000000000001E-4</v>
      </c>
      <c r="F21" s="42" t="str">
        <f t="shared" ref="F21" si="7">IF(G21=1,"%",IF(G21=2,D21,"ERR"))</f>
        <v>%</v>
      </c>
      <c r="G21" s="135">
        <v>1</v>
      </c>
      <c r="H21" s="136">
        <v>1</v>
      </c>
      <c r="I21" s="43">
        <f t="shared" ref="I21" si="8">IF(G21=1,E21/100*C21,E21)</f>
        <v>1.3789518173550737</v>
      </c>
      <c r="J21" s="44">
        <f t="shared" ref="J21" si="9">IF(H21=1,I21/2,I21/SQRT(3))</f>
        <v>0.68947590867753683</v>
      </c>
      <c r="K21" s="39">
        <v>1</v>
      </c>
      <c r="L21" s="43">
        <v>1</v>
      </c>
      <c r="M21" s="45">
        <f t="shared" ref="M21" si="10">L21*J21</f>
        <v>0.68947590867753683</v>
      </c>
      <c r="N21" s="145">
        <v>30</v>
      </c>
      <c r="O21" s="43">
        <f t="shared" ref="O21" si="11">M21^2</f>
        <v>0.47537702864671511</v>
      </c>
      <c r="P21" s="46">
        <f t="shared" ref="P21" si="12">SQRT(O21)/B$2*2000000</f>
        <v>2</v>
      </c>
    </row>
    <row r="22" spans="1:19" ht="18.75" customHeight="1" x14ac:dyDescent="0.35">
      <c r="A22" s="39" t="s">
        <v>168</v>
      </c>
      <c r="B22" s="47" t="s">
        <v>103</v>
      </c>
      <c r="C22" s="67">
        <f>B2</f>
        <v>689475.90867753688</v>
      </c>
      <c r="D22" s="50" t="s">
        <v>50</v>
      </c>
      <c r="E22" s="131">
        <v>1.5E-5</v>
      </c>
      <c r="F22" s="42" t="str">
        <f t="shared" si="2"/>
        <v>%</v>
      </c>
      <c r="G22" s="135">
        <v>1</v>
      </c>
      <c r="H22" s="136">
        <v>1</v>
      </c>
      <c r="I22" s="43">
        <f t="shared" si="3"/>
        <v>0.10342138630163053</v>
      </c>
      <c r="J22" s="44">
        <f t="shared" si="4"/>
        <v>5.1710693150815265E-2</v>
      </c>
      <c r="K22" s="39">
        <v>1</v>
      </c>
      <c r="L22" s="43">
        <v>1</v>
      </c>
      <c r="M22" s="45">
        <f t="shared" si="5"/>
        <v>5.1710693150815265E-2</v>
      </c>
      <c r="N22" s="145">
        <v>30</v>
      </c>
      <c r="O22" s="43">
        <f t="shared" si="1"/>
        <v>2.6739957861377727E-3</v>
      </c>
      <c r="P22" s="46">
        <f t="shared" si="6"/>
        <v>0.15</v>
      </c>
    </row>
    <row r="23" spans="1:19" ht="18.75" customHeight="1" x14ac:dyDescent="0.35">
      <c r="A23" s="39" t="s">
        <v>135</v>
      </c>
      <c r="B23" s="47" t="s">
        <v>103</v>
      </c>
      <c r="C23" s="67">
        <f>B2</f>
        <v>689475.90867753688</v>
      </c>
      <c r="D23" s="50" t="s">
        <v>50</v>
      </c>
      <c r="E23" s="131">
        <v>1.4999999999999999E-2</v>
      </c>
      <c r="F23" s="42" t="str">
        <f t="shared" ref="F23" si="13">IF(G23=1,"%",IF(G23=2,D23,"ERR"))</f>
        <v>Pa</v>
      </c>
      <c r="G23" s="135">
        <v>2</v>
      </c>
      <c r="H23" s="136">
        <v>1</v>
      </c>
      <c r="I23" s="43">
        <f t="shared" ref="I23" si="14">IF(G23=1,E23/100*C23,E23)</f>
        <v>1.4999999999999999E-2</v>
      </c>
      <c r="J23" s="44">
        <f t="shared" ref="J23" si="15">IF(H23=1,I23/2,I23/SQRT(3))</f>
        <v>7.4999999999999997E-3</v>
      </c>
      <c r="K23" s="39">
        <v>1</v>
      </c>
      <c r="L23" s="43">
        <v>1</v>
      </c>
      <c r="M23" s="45">
        <f t="shared" ref="M23" si="16">L23*J23</f>
        <v>7.4999999999999997E-3</v>
      </c>
      <c r="N23" s="145">
        <v>30</v>
      </c>
      <c r="O23" s="43">
        <f t="shared" ref="O23" si="17">M23^2</f>
        <v>5.6249999999999998E-5</v>
      </c>
      <c r="P23" s="46">
        <f t="shared" ref="P23" si="18">SQRT(O23)/B$2*2000000</f>
        <v>2.1755655000000002E-2</v>
      </c>
    </row>
    <row r="24" spans="1:19" ht="18.75" customHeight="1" thickBot="1" x14ac:dyDescent="0.4">
      <c r="A24" s="52" t="s">
        <v>167</v>
      </c>
      <c r="B24" s="53" t="s">
        <v>16</v>
      </c>
      <c r="C24" s="67">
        <f>C15</f>
        <v>8.4004740000000002E-5</v>
      </c>
      <c r="D24" s="54" t="s">
        <v>17</v>
      </c>
      <c r="E24" s="132">
        <v>4.4748809999999999E-10</v>
      </c>
      <c r="F24" s="55" t="str">
        <f t="shared" si="2"/>
        <v>m2</v>
      </c>
      <c r="G24" s="137">
        <v>2</v>
      </c>
      <c r="H24" s="138">
        <v>1</v>
      </c>
      <c r="I24" s="56">
        <f t="shared" si="3"/>
        <v>4.4748809999999999E-10</v>
      </c>
      <c r="J24" s="57">
        <f t="shared" si="4"/>
        <v>2.2374404999999999E-10</v>
      </c>
      <c r="K24" s="52" t="s">
        <v>88</v>
      </c>
      <c r="L24" s="56">
        <f>1/C24*B$2</f>
        <v>8207583389.669879</v>
      </c>
      <c r="M24" s="58">
        <f t="shared" si="5"/>
        <v>1.8363979483174668</v>
      </c>
      <c r="N24" s="147">
        <v>30</v>
      </c>
      <c r="O24" s="56">
        <f t="shared" si="1"/>
        <v>3.3723574245846017</v>
      </c>
      <c r="P24" s="59">
        <f t="shared" si="6"/>
        <v>5.3269386941736858</v>
      </c>
    </row>
    <row r="25" spans="1:19" ht="18.75" customHeight="1" thickBot="1" x14ac:dyDescent="0.4">
      <c r="A25" s="268" t="s">
        <v>26</v>
      </c>
      <c r="B25" s="269"/>
      <c r="C25" s="269"/>
      <c r="D25" s="270"/>
      <c r="E25" s="111"/>
      <c r="F25" s="112"/>
      <c r="G25" s="113"/>
      <c r="H25" s="114"/>
      <c r="I25" s="105"/>
      <c r="J25" s="106"/>
      <c r="K25" s="107"/>
      <c r="L25" s="108"/>
      <c r="M25" s="115"/>
      <c r="N25" s="109"/>
      <c r="O25" s="108"/>
      <c r="P25" s="110"/>
    </row>
    <row r="26" spans="1:19" ht="18.75" customHeight="1" x14ac:dyDescent="0.35">
      <c r="A26" s="60" t="s">
        <v>27</v>
      </c>
      <c r="B26" s="61" t="s">
        <v>28</v>
      </c>
      <c r="C26" s="62">
        <f>B2/B5</f>
        <v>5.9061192603713026</v>
      </c>
      <c r="D26" s="63" t="s">
        <v>29</v>
      </c>
      <c r="E26" s="255">
        <v>5.0000000000000001E-4</v>
      </c>
      <c r="F26" s="34" t="str">
        <f>IF(G26=1,"%",IF(G26=2,D26,"ERR"))</f>
        <v>%</v>
      </c>
      <c r="G26" s="141">
        <v>1</v>
      </c>
      <c r="H26" s="142">
        <v>1</v>
      </c>
      <c r="I26" s="35">
        <f>IF(G26=1,E26/100*C26,E26)</f>
        <v>2.9530596301856515E-5</v>
      </c>
      <c r="J26" s="64">
        <f t="shared" si="4"/>
        <v>1.4765298150928258E-5</v>
      </c>
      <c r="K26" s="65" t="s">
        <v>174</v>
      </c>
      <c r="L26" s="66">
        <f>B5</f>
        <v>116739.24590445729</v>
      </c>
      <c r="M26" s="37">
        <f>L26*J26</f>
        <v>1.7236897716938424</v>
      </c>
      <c r="N26" s="144">
        <v>30</v>
      </c>
      <c r="O26" s="66">
        <f t="shared" si="1"/>
        <v>2.9711064290419706</v>
      </c>
      <c r="P26" s="38">
        <f>M26/B$2*2000000</f>
        <v>5</v>
      </c>
    </row>
    <row r="27" spans="1:19" ht="18.75" customHeight="1" x14ac:dyDescent="0.35">
      <c r="A27" s="39" t="s">
        <v>92</v>
      </c>
      <c r="B27" s="49" t="s">
        <v>28</v>
      </c>
      <c r="C27" s="67">
        <f>C26</f>
        <v>5.9061192603713026</v>
      </c>
      <c r="D27" s="50" t="s">
        <v>29</v>
      </c>
      <c r="E27" s="131">
        <v>0</v>
      </c>
      <c r="F27" s="42" t="str">
        <f>IF(G27=1,"%",IF(G27=2,D27,"ERR"))</f>
        <v>kg</v>
      </c>
      <c r="G27" s="143">
        <v>2</v>
      </c>
      <c r="H27" s="136">
        <v>1</v>
      </c>
      <c r="I27" s="43">
        <f>IF(G27=1,E27/100*C27,E27)</f>
        <v>0</v>
      </c>
      <c r="J27" s="44">
        <f t="shared" si="4"/>
        <v>0</v>
      </c>
      <c r="K27" s="39" t="s">
        <v>174</v>
      </c>
      <c r="L27" s="43">
        <f>B5</f>
        <v>116739.24590445729</v>
      </c>
      <c r="M27" s="45">
        <f>L27*J27</f>
        <v>0</v>
      </c>
      <c r="N27" s="145">
        <v>30</v>
      </c>
      <c r="O27" s="43">
        <f t="shared" si="1"/>
        <v>0</v>
      </c>
      <c r="P27" s="46">
        <f>SQRT(O27)/B$2*2000000</f>
        <v>0</v>
      </c>
    </row>
    <row r="28" spans="1:19" ht="18.75" customHeight="1" x14ac:dyDescent="0.35">
      <c r="A28" s="39" t="s">
        <v>94</v>
      </c>
      <c r="B28" s="49" t="s">
        <v>28</v>
      </c>
      <c r="C28" s="127">
        <v>0</v>
      </c>
      <c r="D28" s="50" t="s">
        <v>29</v>
      </c>
      <c r="E28" s="131">
        <v>0</v>
      </c>
      <c r="F28" s="42" t="str">
        <f t="shared" ref="F28:F45" si="19">IF(G28=1,"%",IF(G28=2,D28,"ERR"))</f>
        <v>kg</v>
      </c>
      <c r="G28" s="143">
        <v>2</v>
      </c>
      <c r="H28" s="136">
        <v>1</v>
      </c>
      <c r="I28" s="43">
        <f t="shared" ref="I28:I38" si="20">IF(G28=1,E28/100*C28,E28)</f>
        <v>0</v>
      </c>
      <c r="J28" s="44">
        <f t="shared" si="4"/>
        <v>0</v>
      </c>
      <c r="K28" s="39" t="s">
        <v>174</v>
      </c>
      <c r="L28" s="43">
        <f>B5</f>
        <v>116739.24590445729</v>
      </c>
      <c r="M28" s="45">
        <f t="shared" ref="M28:M36" si="21">L28*J28</f>
        <v>0</v>
      </c>
      <c r="N28" s="145">
        <v>30</v>
      </c>
      <c r="O28" s="43">
        <f t="shared" si="1"/>
        <v>0</v>
      </c>
      <c r="P28" s="46">
        <f t="shared" ref="P28:P38" si="22">SQRT(O28)/B$2*2000000</f>
        <v>0</v>
      </c>
    </row>
    <row r="29" spans="1:19" ht="18.75" customHeight="1" x14ac:dyDescent="0.35">
      <c r="A29" s="39" t="s">
        <v>129</v>
      </c>
      <c r="B29" s="49" t="s">
        <v>28</v>
      </c>
      <c r="C29" s="127">
        <v>9.7201899999999994E-2</v>
      </c>
      <c r="D29" s="50" t="s">
        <v>29</v>
      </c>
      <c r="E29" s="254">
        <v>4.9999999999999998E-7</v>
      </c>
      <c r="F29" s="42" t="str">
        <f t="shared" si="19"/>
        <v>kg</v>
      </c>
      <c r="G29" s="143">
        <v>2</v>
      </c>
      <c r="H29" s="136">
        <v>1</v>
      </c>
      <c r="I29" s="43">
        <f t="shared" ref="I29:I30" si="23">IF(G29=1,E29/100*C29,E29)</f>
        <v>4.9999999999999998E-7</v>
      </c>
      <c r="J29" s="44">
        <f t="shared" ref="J29:J30" si="24">IF(H29=1,I29/2,I29/SQRT(3))</f>
        <v>2.4999999999999999E-7</v>
      </c>
      <c r="K29" s="39" t="s">
        <v>174</v>
      </c>
      <c r="L29" s="43">
        <f>B5</f>
        <v>116739.24590445729</v>
      </c>
      <c r="M29" s="45">
        <f t="shared" ref="M29:M30" si="25">L29*J29</f>
        <v>2.918481147611432E-2</v>
      </c>
      <c r="N29" s="145">
        <v>30</v>
      </c>
      <c r="O29" s="43">
        <f t="shared" ref="O29:O30" si="26">M29^2</f>
        <v>8.5175322089633412E-4</v>
      </c>
      <c r="P29" s="46">
        <f t="shared" ref="P29:P30" si="27">SQRT(O29)/B$2*2000000</f>
        <v>8.4657958628584523E-2</v>
      </c>
    </row>
    <row r="30" spans="1:19" ht="18.75" customHeight="1" x14ac:dyDescent="0.35">
      <c r="A30" s="39" t="s">
        <v>130</v>
      </c>
      <c r="B30" s="49" t="s">
        <v>28</v>
      </c>
      <c r="C30" s="127">
        <v>0.1127615</v>
      </c>
      <c r="D30" s="50" t="s">
        <v>29</v>
      </c>
      <c r="E30" s="254">
        <v>4.9999999999999998E-7</v>
      </c>
      <c r="F30" s="42" t="str">
        <f t="shared" si="19"/>
        <v>kg</v>
      </c>
      <c r="G30" s="143">
        <v>2</v>
      </c>
      <c r="H30" s="136">
        <v>1</v>
      </c>
      <c r="I30" s="43">
        <f t="shared" si="23"/>
        <v>4.9999999999999998E-7</v>
      </c>
      <c r="J30" s="44">
        <f t="shared" si="24"/>
        <v>2.4999999999999999E-7</v>
      </c>
      <c r="K30" s="39" t="s">
        <v>174</v>
      </c>
      <c r="L30" s="43">
        <f>B5</f>
        <v>116739.24590445729</v>
      </c>
      <c r="M30" s="45">
        <f t="shared" si="25"/>
        <v>2.918481147611432E-2</v>
      </c>
      <c r="N30" s="145">
        <v>30</v>
      </c>
      <c r="O30" s="43">
        <f t="shared" si="26"/>
        <v>8.5175322089633412E-4</v>
      </c>
      <c r="P30" s="46">
        <f t="shared" si="27"/>
        <v>8.4657958628584523E-2</v>
      </c>
    </row>
    <row r="31" spans="1:19" ht="18.75" customHeight="1" x14ac:dyDescent="0.35">
      <c r="A31" s="39" t="s">
        <v>30</v>
      </c>
      <c r="B31" s="49" t="s">
        <v>31</v>
      </c>
      <c r="C31" s="127">
        <v>9.8066499999999994</v>
      </c>
      <c r="D31" s="50" t="s">
        <v>32</v>
      </c>
      <c r="E31" s="131">
        <v>3.9999999999999998E-11</v>
      </c>
      <c r="F31" s="42" t="str">
        <f t="shared" si="19"/>
        <v>m/sec2</v>
      </c>
      <c r="G31" s="143">
        <v>2</v>
      </c>
      <c r="H31" s="136">
        <v>1</v>
      </c>
      <c r="I31" s="43">
        <f t="shared" si="20"/>
        <v>3.9999999999999998E-11</v>
      </c>
      <c r="J31" s="44">
        <f t="shared" si="4"/>
        <v>1.9999999999999999E-11</v>
      </c>
      <c r="K31" s="39" t="s">
        <v>89</v>
      </c>
      <c r="L31" s="43">
        <f>1/C31*B2</f>
        <v>70306.97625361738</v>
      </c>
      <c r="M31" s="45">
        <f t="shared" si="21"/>
        <v>1.4061395250723475E-6</v>
      </c>
      <c r="N31" s="145">
        <v>30</v>
      </c>
      <c r="O31" s="43">
        <f t="shared" si="1"/>
        <v>1.9772283639706871E-12</v>
      </c>
      <c r="P31" s="46">
        <f t="shared" si="22"/>
        <v>4.0788648519117121E-6</v>
      </c>
    </row>
    <row r="32" spans="1:19" ht="18.75" customHeight="1" x14ac:dyDescent="0.35">
      <c r="A32" s="39" t="s">
        <v>33</v>
      </c>
      <c r="B32" s="51" t="s">
        <v>34</v>
      </c>
      <c r="C32" s="127">
        <v>1.2</v>
      </c>
      <c r="D32" s="50" t="s">
        <v>35</v>
      </c>
      <c r="E32" s="131">
        <v>7.0000000000000001E-3</v>
      </c>
      <c r="F32" s="42" t="str">
        <f t="shared" si="19"/>
        <v>kg/m3</v>
      </c>
      <c r="G32" s="143">
        <v>2</v>
      </c>
      <c r="H32" s="136">
        <v>1</v>
      </c>
      <c r="I32" s="43">
        <f t="shared" si="20"/>
        <v>7.0000000000000001E-3</v>
      </c>
      <c r="J32" s="44">
        <f>IF(B$3=1,0,IF(H32=1,I32/2,I32/SQRT(3)))</f>
        <v>0</v>
      </c>
      <c r="K32" s="68" t="s">
        <v>90</v>
      </c>
      <c r="L32" s="43">
        <f>1/C36*B2</f>
        <v>88.394347266350877</v>
      </c>
      <c r="M32" s="45">
        <f t="shared" si="21"/>
        <v>0</v>
      </c>
      <c r="N32" s="145">
        <v>30</v>
      </c>
      <c r="O32" s="43">
        <f t="shared" si="1"/>
        <v>0</v>
      </c>
      <c r="P32" s="46">
        <f t="shared" si="22"/>
        <v>0</v>
      </c>
    </row>
    <row r="33" spans="1:16" ht="18.75" customHeight="1" x14ac:dyDescent="0.35">
      <c r="A33" s="39" t="s">
        <v>69</v>
      </c>
      <c r="B33" s="69" t="s">
        <v>75</v>
      </c>
      <c r="C33" s="127">
        <v>101325</v>
      </c>
      <c r="D33" s="50" t="s">
        <v>50</v>
      </c>
      <c r="E33" s="131">
        <v>140</v>
      </c>
      <c r="F33" s="42" t="str">
        <f t="shared" si="19"/>
        <v>Pa</v>
      </c>
      <c r="G33" s="143">
        <v>2</v>
      </c>
      <c r="H33" s="136">
        <v>1</v>
      </c>
      <c r="I33" s="43">
        <f t="shared" si="20"/>
        <v>140</v>
      </c>
      <c r="J33" s="44">
        <f>IF(E$32=0,IF(B$3=1,0,IF(H33=1,I33/2,I33/SQRT(3))),0)</f>
        <v>0</v>
      </c>
      <c r="K33" s="118" t="s">
        <v>132</v>
      </c>
      <c r="L33" s="43">
        <f>0.0000015*B2</f>
        <v>1.0342138630163054</v>
      </c>
      <c r="M33" s="45">
        <f>L33*J33/1000</f>
        <v>0</v>
      </c>
      <c r="N33" s="145">
        <v>30</v>
      </c>
      <c r="O33" s="43">
        <f t="shared" si="1"/>
        <v>0</v>
      </c>
      <c r="P33" s="46">
        <f t="shared" si="22"/>
        <v>0</v>
      </c>
    </row>
    <row r="34" spans="1:16" ht="18.75" customHeight="1" x14ac:dyDescent="0.35">
      <c r="A34" s="39" t="s">
        <v>70</v>
      </c>
      <c r="B34" s="69" t="s">
        <v>76</v>
      </c>
      <c r="C34" s="127">
        <v>22</v>
      </c>
      <c r="D34" s="48" t="s">
        <v>60</v>
      </c>
      <c r="E34" s="131">
        <v>0.14000000000000001</v>
      </c>
      <c r="F34" s="42" t="str">
        <f t="shared" si="19"/>
        <v>°C</v>
      </c>
      <c r="G34" s="143">
        <v>2</v>
      </c>
      <c r="H34" s="136">
        <v>1</v>
      </c>
      <c r="I34" s="43">
        <f t="shared" si="20"/>
        <v>0.14000000000000001</v>
      </c>
      <c r="J34" s="44">
        <f t="shared" ref="J34:J35" si="28">IF(E$32=0,IF(B$3=1,0,IF(H34=1,I34/2,I34/SQRT(3))),0)</f>
        <v>0</v>
      </c>
      <c r="K34" s="118" t="s">
        <v>133</v>
      </c>
      <c r="L34" s="43">
        <f>0.00000055*B2</f>
        <v>0.37921174977264532</v>
      </c>
      <c r="M34" s="45">
        <f t="shared" si="21"/>
        <v>0</v>
      </c>
      <c r="N34" s="145">
        <v>30</v>
      </c>
      <c r="O34" s="43">
        <f t="shared" si="1"/>
        <v>0</v>
      </c>
      <c r="P34" s="46">
        <f t="shared" si="22"/>
        <v>0</v>
      </c>
    </row>
    <row r="35" spans="1:16" ht="18.75" customHeight="1" x14ac:dyDescent="0.35">
      <c r="A35" s="39" t="s">
        <v>71</v>
      </c>
      <c r="B35" s="69" t="s">
        <v>77</v>
      </c>
      <c r="C35" s="127">
        <v>50</v>
      </c>
      <c r="D35" s="50" t="s">
        <v>113</v>
      </c>
      <c r="E35" s="131">
        <v>10</v>
      </c>
      <c r="F35" s="70" t="str">
        <f t="shared" si="19"/>
        <v>%RH</v>
      </c>
      <c r="G35" s="143">
        <v>2</v>
      </c>
      <c r="H35" s="136">
        <v>1</v>
      </c>
      <c r="I35" s="43">
        <f t="shared" si="20"/>
        <v>10</v>
      </c>
      <c r="J35" s="44">
        <f t="shared" si="28"/>
        <v>0</v>
      </c>
      <c r="K35" s="118" t="s">
        <v>134</v>
      </c>
      <c r="L35" s="43">
        <f>0.000000012*B2</f>
        <v>8.2737109041304425E-3</v>
      </c>
      <c r="M35" s="45">
        <f t="shared" si="21"/>
        <v>0</v>
      </c>
      <c r="N35" s="145">
        <v>30</v>
      </c>
      <c r="O35" s="43">
        <f t="shared" si="1"/>
        <v>0</v>
      </c>
      <c r="P35" s="46">
        <f t="shared" si="22"/>
        <v>0</v>
      </c>
    </row>
    <row r="36" spans="1:16" ht="18.75" customHeight="1" x14ac:dyDescent="0.35">
      <c r="A36" s="39" t="s">
        <v>86</v>
      </c>
      <c r="B36" s="51" t="s">
        <v>36</v>
      </c>
      <c r="C36" s="127">
        <v>7800</v>
      </c>
      <c r="D36" s="50" t="s">
        <v>35</v>
      </c>
      <c r="E36" s="131">
        <v>40</v>
      </c>
      <c r="F36" s="70" t="str">
        <f t="shared" si="19"/>
        <v>kg/m3</v>
      </c>
      <c r="G36" s="143">
        <v>2</v>
      </c>
      <c r="H36" s="136">
        <v>2</v>
      </c>
      <c r="I36" s="43">
        <f t="shared" si="20"/>
        <v>40</v>
      </c>
      <c r="J36" s="44">
        <f>IF(B3=1,IF(H36=1,I36/2,I36/SQRT(3)),0)</f>
        <v>23.094010767585033</v>
      </c>
      <c r="K36" s="68" t="s">
        <v>93</v>
      </c>
      <c r="L36" s="43">
        <f>C32/C36^2*B2</f>
        <v>1.3599130348669367E-2</v>
      </c>
      <c r="M36" s="45">
        <f t="shared" si="21"/>
        <v>0.31405846270196275</v>
      </c>
      <c r="N36" s="145">
        <v>30</v>
      </c>
      <c r="O36" s="43">
        <f t="shared" si="1"/>
        <v>9.863271799472012E-2</v>
      </c>
      <c r="P36" s="46">
        <f t="shared" si="22"/>
        <v>0.91100634191656937</v>
      </c>
    </row>
    <row r="37" spans="1:16" ht="18.75" customHeight="1" x14ac:dyDescent="0.35">
      <c r="A37" s="71" t="s">
        <v>114</v>
      </c>
      <c r="B37" s="72" t="s">
        <v>115</v>
      </c>
      <c r="C37" s="139">
        <v>3.2000000000000001E-2</v>
      </c>
      <c r="D37" s="73" t="s">
        <v>116</v>
      </c>
      <c r="E37" s="140">
        <v>10</v>
      </c>
      <c r="F37" s="70" t="str">
        <f t="shared" ref="F37" si="29">IF(G37=1,"%",IF(G37=2,D37,"ERR"))</f>
        <v>%</v>
      </c>
      <c r="G37" s="143">
        <v>1</v>
      </c>
      <c r="H37" s="136">
        <v>2</v>
      </c>
      <c r="I37" s="43">
        <f t="shared" ref="I37" si="30">IF(G37=1,E37/100*C37,E37)</f>
        <v>3.2000000000000002E-3</v>
      </c>
      <c r="J37" s="44">
        <f>IF(B3=1,0,IF(OR(B4=2,B4=3),IF(H37=1,I37/2,I37/SQRT(3)),0))</f>
        <v>0</v>
      </c>
      <c r="K37" s="116" t="s">
        <v>127</v>
      </c>
      <c r="L37" s="74">
        <f>(PI()*SQRT(C15/PI())*2)/C15</f>
        <v>386.77022759349387</v>
      </c>
      <c r="M37" s="75">
        <f>L37*J37</f>
        <v>0</v>
      </c>
      <c r="N37" s="146">
        <v>30</v>
      </c>
      <c r="O37" s="74">
        <f t="shared" si="1"/>
        <v>0</v>
      </c>
      <c r="P37" s="76">
        <f t="shared" si="22"/>
        <v>0</v>
      </c>
    </row>
    <row r="38" spans="1:16" ht="18.75" customHeight="1" thickBot="1" x14ac:dyDescent="0.4">
      <c r="A38" s="52" t="s">
        <v>37</v>
      </c>
      <c r="B38" s="77" t="s">
        <v>38</v>
      </c>
      <c r="C38" s="128">
        <v>0</v>
      </c>
      <c r="D38" s="54" t="s">
        <v>39</v>
      </c>
      <c r="E38" s="132">
        <v>0.05</v>
      </c>
      <c r="F38" s="55" t="str">
        <f t="shared" si="19"/>
        <v>deg.</v>
      </c>
      <c r="G38" s="137">
        <v>2</v>
      </c>
      <c r="H38" s="138">
        <v>2</v>
      </c>
      <c r="I38" s="56">
        <f t="shared" si="20"/>
        <v>0.05</v>
      </c>
      <c r="J38" s="57">
        <f t="shared" si="4"/>
        <v>2.8867513459481291E-2</v>
      </c>
      <c r="K38" s="52" t="s">
        <v>109</v>
      </c>
      <c r="L38" s="56">
        <f>(1-COS(RADIANS(J38)))*B2</f>
        <v>8.7510986633966781E-2</v>
      </c>
      <c r="M38" s="58">
        <f>L38</f>
        <v>8.7510986633966781E-2</v>
      </c>
      <c r="N38" s="147">
        <v>30</v>
      </c>
      <c r="O38" s="56">
        <f t="shared" si="1"/>
        <v>7.6581727816503126E-3</v>
      </c>
      <c r="P38" s="59">
        <f t="shared" si="22"/>
        <v>0.2538478445224257</v>
      </c>
    </row>
    <row r="39" spans="1:16" ht="18.75" customHeight="1" thickBot="1" x14ac:dyDescent="0.4">
      <c r="A39" s="268" t="s">
        <v>40</v>
      </c>
      <c r="B39" s="269"/>
      <c r="C39" s="269"/>
      <c r="D39" s="270"/>
      <c r="E39" s="111"/>
      <c r="F39" s="112"/>
      <c r="G39" s="113"/>
      <c r="H39" s="114"/>
      <c r="I39" s="105"/>
      <c r="J39" s="106"/>
      <c r="K39" s="107"/>
      <c r="L39" s="108"/>
      <c r="M39" s="115"/>
      <c r="N39" s="109"/>
      <c r="O39" s="108"/>
      <c r="P39" s="110"/>
    </row>
    <row r="40" spans="1:16" ht="18.75" customHeight="1" x14ac:dyDescent="0.35">
      <c r="A40" s="39" t="s">
        <v>41</v>
      </c>
      <c r="B40" s="51" t="s">
        <v>42</v>
      </c>
      <c r="C40" s="67">
        <f>IF(B4=2,B6,IF(B4=3,998.2123,1.1647*G2/101325))</f>
        <v>7.9253154782800621</v>
      </c>
      <c r="D40" s="50" t="s">
        <v>35</v>
      </c>
      <c r="E40" s="149">
        <v>0.1</v>
      </c>
      <c r="F40" s="78" t="str">
        <f t="shared" si="19"/>
        <v>%</v>
      </c>
      <c r="G40" s="150">
        <v>1</v>
      </c>
      <c r="H40" s="136">
        <v>1</v>
      </c>
      <c r="I40" s="35">
        <f>IF(G40=1,E40/100*C40,E40)</f>
        <v>7.9253154782800619E-3</v>
      </c>
      <c r="J40" s="44">
        <f t="shared" si="4"/>
        <v>3.9626577391400309E-3</v>
      </c>
      <c r="K40" s="39" t="s">
        <v>121</v>
      </c>
      <c r="L40" s="43">
        <f>C15*C41/C26*B2</f>
        <v>0</v>
      </c>
      <c r="M40" s="37">
        <f>L40*J40</f>
        <v>0</v>
      </c>
      <c r="N40" s="145">
        <v>30</v>
      </c>
      <c r="O40" s="43">
        <f t="shared" si="1"/>
        <v>0</v>
      </c>
      <c r="P40" s="38">
        <f>SQRT(O40)/B$2*2000000</f>
        <v>0</v>
      </c>
    </row>
    <row r="41" spans="1:16" ht="18.75" customHeight="1" x14ac:dyDescent="0.35">
      <c r="A41" s="39" t="s">
        <v>43</v>
      </c>
      <c r="B41" s="49" t="s">
        <v>44</v>
      </c>
      <c r="C41" s="67">
        <f>B7</f>
        <v>0</v>
      </c>
      <c r="D41" s="50" t="s">
        <v>45</v>
      </c>
      <c r="E41" s="131">
        <v>2E-3</v>
      </c>
      <c r="F41" s="70" t="str">
        <f t="shared" si="19"/>
        <v>m</v>
      </c>
      <c r="G41" s="143">
        <v>2</v>
      </c>
      <c r="H41" s="136">
        <v>1</v>
      </c>
      <c r="I41" s="43">
        <f>IF(G41=1,E41/100*C41,E41)</f>
        <v>2E-3</v>
      </c>
      <c r="J41" s="44">
        <f t="shared" si="4"/>
        <v>1E-3</v>
      </c>
      <c r="K41" s="39" t="s">
        <v>131</v>
      </c>
      <c r="L41" s="43">
        <f>IF(B3=1,C31*C40,(C40-C32)*C31)</f>
        <v>77.72079503507517</v>
      </c>
      <c r="M41" s="45">
        <f>L41*J41</f>
        <v>7.7720795035075174E-2</v>
      </c>
      <c r="N41" s="145">
        <v>30</v>
      </c>
      <c r="O41" s="43">
        <f t="shared" si="1"/>
        <v>6.0405219808841656E-3</v>
      </c>
      <c r="P41" s="46">
        <f>SQRT(O41)/B$2*2000000</f>
        <v>0.22544890708117449</v>
      </c>
    </row>
    <row r="42" spans="1:16" ht="18.75" customHeight="1" x14ac:dyDescent="0.35">
      <c r="A42" s="39" t="s">
        <v>46</v>
      </c>
      <c r="B42" s="49" t="s">
        <v>47</v>
      </c>
      <c r="C42" s="127">
        <v>0</v>
      </c>
      <c r="D42" s="50" t="s">
        <v>45</v>
      </c>
      <c r="E42" s="131">
        <v>2.0000000000000001E-4</v>
      </c>
      <c r="F42" s="70" t="str">
        <f t="shared" si="19"/>
        <v>m</v>
      </c>
      <c r="G42" s="143">
        <v>2</v>
      </c>
      <c r="H42" s="136">
        <v>1</v>
      </c>
      <c r="I42" s="43">
        <f t="shared" ref="I42:I45" si="31">IF(G42=1,E42/100*C42,E42)</f>
        <v>2.0000000000000001E-4</v>
      </c>
      <c r="J42" s="44">
        <f t="shared" si="4"/>
        <v>1E-4</v>
      </c>
      <c r="K42" s="39" t="s">
        <v>131</v>
      </c>
      <c r="L42" s="43">
        <f>IF(B3=1,C31*C40,(C40-C32)*C31)</f>
        <v>77.72079503507517</v>
      </c>
      <c r="M42" s="45">
        <f t="shared" ref="M42:M45" si="32">L42*J42</f>
        <v>7.7720795035075172E-3</v>
      </c>
      <c r="N42" s="145">
        <v>30</v>
      </c>
      <c r="O42" s="43">
        <f t="shared" si="1"/>
        <v>6.0405219808841656E-5</v>
      </c>
      <c r="P42" s="46">
        <f t="shared" ref="P42:P45" si="33">SQRT(O42)/B$2*2000000</f>
        <v>2.2544890708117445E-2</v>
      </c>
    </row>
    <row r="43" spans="1:16" ht="18.75" customHeight="1" x14ac:dyDescent="0.35">
      <c r="A43" s="39" t="s">
        <v>65</v>
      </c>
      <c r="B43" s="49" t="s">
        <v>66</v>
      </c>
      <c r="C43" s="43">
        <f>C33</f>
        <v>101325</v>
      </c>
      <c r="D43" s="50" t="s">
        <v>50</v>
      </c>
      <c r="E43" s="131">
        <v>10</v>
      </c>
      <c r="F43" s="70" t="str">
        <f t="shared" si="19"/>
        <v>Pa</v>
      </c>
      <c r="G43" s="143">
        <v>2</v>
      </c>
      <c r="H43" s="136">
        <v>1</v>
      </c>
      <c r="I43" s="43">
        <f t="shared" si="31"/>
        <v>10</v>
      </c>
      <c r="J43" s="44">
        <f>IF(B3=3,IF(H43=1,I43/2,I43/SQRT(3)),0)</f>
        <v>0</v>
      </c>
      <c r="K43" s="39">
        <v>1</v>
      </c>
      <c r="L43" s="43">
        <v>1</v>
      </c>
      <c r="M43" s="45">
        <f t="shared" si="32"/>
        <v>0</v>
      </c>
      <c r="N43" s="145">
        <v>30</v>
      </c>
      <c r="O43" s="43">
        <f t="shared" si="1"/>
        <v>0</v>
      </c>
      <c r="P43" s="46">
        <f t="shared" si="33"/>
        <v>0</v>
      </c>
    </row>
    <row r="44" spans="1:16" ht="18.75" customHeight="1" x14ac:dyDescent="0.35">
      <c r="A44" s="39" t="s">
        <v>48</v>
      </c>
      <c r="B44" s="49" t="s">
        <v>49</v>
      </c>
      <c r="C44" s="127">
        <v>5</v>
      </c>
      <c r="D44" s="50" t="s">
        <v>50</v>
      </c>
      <c r="E44" s="131">
        <v>10</v>
      </c>
      <c r="F44" s="70" t="str">
        <f t="shared" si="19"/>
        <v>%</v>
      </c>
      <c r="G44" s="143">
        <v>1</v>
      </c>
      <c r="H44" s="136">
        <v>1</v>
      </c>
      <c r="I44" s="43">
        <f t="shared" si="31"/>
        <v>0.5</v>
      </c>
      <c r="J44" s="44">
        <f>IF(B4&lt;&gt;1,0,IF(B3=1,IF(H44=1,I44/2,I44/SQRT(3)),0))</f>
        <v>0.25</v>
      </c>
      <c r="K44" s="39">
        <v>1</v>
      </c>
      <c r="L44" s="43">
        <v>1</v>
      </c>
      <c r="M44" s="45">
        <f t="shared" si="32"/>
        <v>0.25</v>
      </c>
      <c r="N44" s="145">
        <v>30</v>
      </c>
      <c r="O44" s="43">
        <f t="shared" si="1"/>
        <v>6.25E-2</v>
      </c>
      <c r="P44" s="46">
        <f t="shared" si="33"/>
        <v>0.72518850000000001</v>
      </c>
    </row>
    <row r="45" spans="1:16" ht="18.75" customHeight="1" thickBot="1" x14ac:dyDescent="0.4">
      <c r="A45" s="71" t="s">
        <v>110</v>
      </c>
      <c r="B45" s="79" t="s">
        <v>103</v>
      </c>
      <c r="C45" s="139">
        <v>0</v>
      </c>
      <c r="D45" s="73" t="s">
        <v>50</v>
      </c>
      <c r="E45" s="253">
        <v>0</v>
      </c>
      <c r="F45" s="80" t="str">
        <f t="shared" si="19"/>
        <v>Pa</v>
      </c>
      <c r="G45" s="151">
        <v>2</v>
      </c>
      <c r="H45" s="152">
        <v>1</v>
      </c>
      <c r="I45" s="43">
        <f t="shared" si="31"/>
        <v>0</v>
      </c>
      <c r="J45" s="81">
        <f t="shared" si="4"/>
        <v>0</v>
      </c>
      <c r="K45" s="71">
        <v>1</v>
      </c>
      <c r="L45" s="74">
        <v>1</v>
      </c>
      <c r="M45" s="75">
        <f t="shared" si="32"/>
        <v>0</v>
      </c>
      <c r="N45" s="146">
        <v>30</v>
      </c>
      <c r="O45" s="74">
        <f t="shared" si="1"/>
        <v>0</v>
      </c>
      <c r="P45" s="76">
        <f t="shared" si="33"/>
        <v>0</v>
      </c>
    </row>
    <row r="46" spans="1:16" x14ac:dyDescent="0.35">
      <c r="A46" s="256" t="s">
        <v>177</v>
      </c>
      <c r="B46" s="257"/>
      <c r="C46" s="257"/>
      <c r="D46" s="257"/>
      <c r="E46" s="257"/>
      <c r="F46" s="257"/>
      <c r="G46" s="257"/>
      <c r="H46" s="257"/>
      <c r="I46" s="257"/>
      <c r="J46" s="258"/>
      <c r="K46" s="84"/>
      <c r="L46" s="85" t="s">
        <v>51</v>
      </c>
      <c r="M46" s="86">
        <f>SUM(O15:O45)</f>
        <v>15.941530790269921</v>
      </c>
      <c r="N46" s="87" t="s">
        <v>50</v>
      </c>
      <c r="O46" s="6"/>
      <c r="P46" s="88" t="s">
        <v>100</v>
      </c>
    </row>
    <row r="47" spans="1:16" x14ac:dyDescent="0.35">
      <c r="A47" s="259"/>
      <c r="B47" s="260"/>
      <c r="C47" s="260"/>
      <c r="D47" s="260"/>
      <c r="E47" s="260"/>
      <c r="F47" s="260"/>
      <c r="G47" s="260"/>
      <c r="H47" s="260"/>
      <c r="I47" s="260"/>
      <c r="J47" s="261"/>
      <c r="K47" s="90"/>
      <c r="L47" s="89" t="s">
        <v>52</v>
      </c>
      <c r="M47" s="91">
        <f>SQRT(M46)</f>
        <v>3.9926846595079257</v>
      </c>
      <c r="N47" s="92" t="s">
        <v>50</v>
      </c>
      <c r="O47" s="13" t="s">
        <v>99</v>
      </c>
      <c r="P47" s="93">
        <f>TINV((100-B10)/100,VALUE(P48))</f>
        <v>1.9882679074772251</v>
      </c>
    </row>
    <row r="48" spans="1:16" ht="15" thickBot="1" x14ac:dyDescent="0.4">
      <c r="A48" s="259"/>
      <c r="B48" s="260"/>
      <c r="C48" s="260"/>
      <c r="D48" s="260"/>
      <c r="E48" s="260"/>
      <c r="F48" s="260"/>
      <c r="G48" s="260"/>
      <c r="H48" s="260"/>
      <c r="I48" s="260"/>
      <c r="J48" s="261"/>
      <c r="K48" s="90"/>
      <c r="L48" s="94" t="str">
        <f>"Expanded Uncertainty ("&amp;B10&amp;"%):"</f>
        <v>Expanded Uncertainty (95%):</v>
      </c>
      <c r="M48" s="95">
        <f>M47*P47</f>
        <v>7.9385267731762408</v>
      </c>
      <c r="N48" s="92" t="s">
        <v>50</v>
      </c>
      <c r="O48" s="20" t="s">
        <v>56</v>
      </c>
      <c r="P48" s="96">
        <f>M47^4/(M15^4/N15+M16^4/N16+M17^4/N17+M18^4/N18+M19^4/N19+M20^4/N20+M22^4/N22+M24^4/N24+M26^4/N26+M27^4/N27+M28^4/N28+M31^4/N31+M32^4/N32+M33^4/N33+M34^4/N34+M35^4/N35+M36^4/N36+M38^4/N38+M40^4/N40+M41^4/N41+M42^4/N42+M43^4/N43+M44^4/N44+M45^4/N45+M21^4/N21+M23^4/N23+M29^4/N29+M30^4/N30+M37^4/N37)</f>
        <v>85.915082811944572</v>
      </c>
    </row>
    <row r="49" spans="1:14" ht="15" thickBot="1" x14ac:dyDescent="0.4">
      <c r="A49" s="262"/>
      <c r="B49" s="263"/>
      <c r="C49" s="263"/>
      <c r="D49" s="263"/>
      <c r="E49" s="263"/>
      <c r="F49" s="263"/>
      <c r="G49" s="263"/>
      <c r="H49" s="263"/>
      <c r="I49" s="263"/>
      <c r="J49" s="264"/>
      <c r="K49" s="97"/>
      <c r="L49" s="98" t="str">
        <f>"Expanded Uncertainty ("&amp;B10&amp;"%):"</f>
        <v>Expanded Uncertainty (95%):</v>
      </c>
      <c r="M49" s="99">
        <f>M47*P47/B2*1000000</f>
        <v>11.513856645699038</v>
      </c>
      <c r="N49" s="100" t="s">
        <v>73</v>
      </c>
    </row>
    <row r="56" spans="1:14" x14ac:dyDescent="0.35">
      <c r="A56" s="101"/>
    </row>
    <row r="57" spans="1:14" x14ac:dyDescent="0.35">
      <c r="A57" s="101"/>
    </row>
    <row r="58" spans="1:14" x14ac:dyDescent="0.35">
      <c r="A58" s="101"/>
    </row>
    <row r="59" spans="1:14" x14ac:dyDescent="0.35">
      <c r="A59" s="101"/>
    </row>
    <row r="60" spans="1:14" x14ac:dyDescent="0.35">
      <c r="A60" s="101"/>
    </row>
  </sheetData>
  <sheetProtection selectLockedCells="1"/>
  <mergeCells count="13">
    <mergeCell ref="A46:J49"/>
    <mergeCell ref="K11:P11"/>
    <mergeCell ref="A14:D14"/>
    <mergeCell ref="A1:I1"/>
    <mergeCell ref="J1:P1"/>
    <mergeCell ref="A25:D25"/>
    <mergeCell ref="N3:P5"/>
    <mergeCell ref="N6:P9"/>
    <mergeCell ref="A39:D39"/>
    <mergeCell ref="E11:J11"/>
    <mergeCell ref="E12:F12"/>
    <mergeCell ref="E13:F13"/>
    <mergeCell ref="A11:D11"/>
  </mergeCells>
  <conditionalFormatting sqref="A32:P35">
    <cfRule type="expression" dxfId="26" priority="10">
      <formula>$B$3=1</formula>
    </cfRule>
  </conditionalFormatting>
  <conditionalFormatting sqref="A36:P36">
    <cfRule type="expression" dxfId="25" priority="8">
      <formula>$B$3=3</formula>
    </cfRule>
    <cfRule type="expression" dxfId="24" priority="9">
      <formula>$B$3=2</formula>
    </cfRule>
  </conditionalFormatting>
  <conditionalFormatting sqref="A37:P37">
    <cfRule type="expression" dxfId="23" priority="5">
      <formula>$B$3=1</formula>
    </cfRule>
    <cfRule type="expression" dxfId="22" priority="6">
      <formula>$B$4=1</formula>
    </cfRule>
  </conditionalFormatting>
  <conditionalFormatting sqref="A33:P35">
    <cfRule type="expression" dxfId="21" priority="4">
      <formula>$E$32&lt;&gt;0</formula>
    </cfRule>
  </conditionalFormatting>
  <conditionalFormatting sqref="A43:P43">
    <cfRule type="expression" dxfId="20" priority="3">
      <formula>$B$3&lt;&gt;3</formula>
    </cfRule>
  </conditionalFormatting>
  <conditionalFormatting sqref="A44:P44">
    <cfRule type="expression" dxfId="19" priority="1">
      <formula>$B$4&lt;&gt;1</formula>
    </cfRule>
    <cfRule type="expression" dxfId="18" priority="2">
      <formula>$B$3&lt;&gt;1</formula>
    </cfRule>
  </conditionalFormatting>
  <pageMargins left="0.25" right="0.25" top="0.75" bottom="0.75" header="0.3" footer="0.3"/>
  <pageSetup scale="57" orientation="landscape" r:id="rId1"/>
  <ignoredErrors>
    <ignoredError sqref="C21:C24 C41 C43" unlockedFormula="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0"/>
  <sheetViews>
    <sheetView showGridLines="0" topLeftCell="A3" zoomScale="90" zoomScaleNormal="90" workbookViewId="0">
      <selection activeCell="C21" sqref="C21"/>
    </sheetView>
  </sheetViews>
  <sheetFormatPr defaultColWidth="9.1796875" defaultRowHeight="14.5" x14ac:dyDescent="0.35"/>
  <cols>
    <col min="1" max="1" width="26.81640625" style="1" customWidth="1"/>
    <col min="2" max="2" width="9.54296875" style="1" bestFit="1" customWidth="1"/>
    <col min="3" max="3" width="13" style="1" customWidth="1"/>
    <col min="4" max="4" width="9.1796875" style="1"/>
    <col min="5" max="5" width="17.7265625" style="1" customWidth="1"/>
    <col min="6" max="6" width="7.453125" style="1" customWidth="1"/>
    <col min="7" max="7" width="15.54296875" style="1" customWidth="1"/>
    <col min="8" max="8" width="15" style="1" customWidth="1"/>
    <col min="9" max="9" width="15.26953125" style="1" customWidth="1"/>
    <col min="10" max="10" width="15.81640625" style="1" customWidth="1"/>
    <col min="11" max="11" width="19.81640625" style="1" customWidth="1"/>
    <col min="12" max="12" width="15.1796875" style="1" customWidth="1"/>
    <col min="13" max="13" width="12.81640625" style="1" customWidth="1"/>
    <col min="14" max="14" width="9.1796875" style="102"/>
    <col min="15" max="15" width="9.1796875" style="1"/>
    <col min="16" max="16" width="11.54296875" style="1" customWidth="1"/>
    <col min="17" max="16384" width="9.1796875" style="1"/>
  </cols>
  <sheetData>
    <row r="1" spans="1:16" ht="18.75" customHeight="1" thickBot="1" x14ac:dyDescent="0.4">
      <c r="A1" s="268" t="s">
        <v>55</v>
      </c>
      <c r="B1" s="269"/>
      <c r="C1" s="269"/>
      <c r="D1" s="269"/>
      <c r="E1" s="269"/>
      <c r="F1" s="269"/>
      <c r="G1" s="269"/>
      <c r="H1" s="269"/>
      <c r="I1" s="270"/>
      <c r="J1"/>
      <c r="K1"/>
      <c r="L1"/>
      <c r="M1"/>
      <c r="N1"/>
      <c r="O1"/>
      <c r="P1"/>
    </row>
    <row r="2" spans="1:16" ht="18.75" customHeight="1" x14ac:dyDescent="0.35">
      <c r="A2" s="2" t="s">
        <v>53</v>
      </c>
      <c r="B2" s="119">
        <f>0.5*Unccalc1!B2</f>
        <v>344737.95433876844</v>
      </c>
      <c r="C2" s="3" t="s">
        <v>50</v>
      </c>
      <c r="D2" s="4">
        <f>B2*0.0001450377</f>
        <v>50</v>
      </c>
      <c r="E2" s="3" t="s">
        <v>72</v>
      </c>
      <c r="F2" s="3" t="s">
        <v>128</v>
      </c>
      <c r="G2" s="3">
        <f>IF(B3=1,B2,B2+C33)</f>
        <v>344737.95433876844</v>
      </c>
      <c r="H2" s="3"/>
      <c r="I2" s="5"/>
      <c r="J2"/>
      <c r="K2"/>
      <c r="L2"/>
      <c r="M2"/>
      <c r="N2"/>
      <c r="O2"/>
      <c r="P2"/>
    </row>
    <row r="3" spans="1:16" ht="18.75" customHeight="1" x14ac:dyDescent="0.35">
      <c r="A3" s="9" t="s">
        <v>63</v>
      </c>
      <c r="B3" s="120">
        <f>Unccalc1!B3</f>
        <v>1</v>
      </c>
      <c r="C3" s="10" t="s">
        <v>64</v>
      </c>
      <c r="D3" s="11"/>
      <c r="E3" s="11"/>
      <c r="F3" s="11"/>
      <c r="G3" s="11"/>
      <c r="H3" s="10"/>
      <c r="I3" s="12"/>
      <c r="J3"/>
      <c r="K3"/>
      <c r="L3"/>
      <c r="M3"/>
      <c r="N3"/>
      <c r="O3"/>
      <c r="P3"/>
    </row>
    <row r="4" spans="1:16" ht="18.75" customHeight="1" x14ac:dyDescent="0.35">
      <c r="A4" s="15" t="str">
        <f>"Media :"&amp;IF(B4=1,"gas",IF(B4=2,"oil",IF(B4=3,"water")))</f>
        <v>Media :gas</v>
      </c>
      <c r="B4" s="121">
        <f>Unccalc1!B4</f>
        <v>1</v>
      </c>
      <c r="C4" s="13" t="s">
        <v>117</v>
      </c>
      <c r="D4" s="13"/>
      <c r="E4" s="13"/>
      <c r="F4" s="13"/>
      <c r="G4" s="13" t="s">
        <v>122</v>
      </c>
      <c r="H4" s="16"/>
      <c r="I4" s="14"/>
      <c r="J4"/>
      <c r="K4"/>
      <c r="L4"/>
      <c r="M4"/>
      <c r="N4"/>
      <c r="O4"/>
      <c r="P4"/>
    </row>
    <row r="5" spans="1:16" ht="18.75" customHeight="1" x14ac:dyDescent="0.35">
      <c r="A5" s="15" t="s">
        <v>95</v>
      </c>
      <c r="B5" s="117">
        <f>C31/C15</f>
        <v>116739.24590445729</v>
      </c>
      <c r="C5" s="13" t="s">
        <v>96</v>
      </c>
      <c r="D5" s="13">
        <f>B5*0.0001450377</f>
        <v>16.931591725716906</v>
      </c>
      <c r="E5" s="13" t="s">
        <v>97</v>
      </c>
      <c r="F5" s="13"/>
      <c r="G5" s="13" t="s">
        <v>123</v>
      </c>
      <c r="H5" s="17"/>
      <c r="I5" s="14"/>
      <c r="J5"/>
      <c r="K5"/>
      <c r="L5"/>
      <c r="M5"/>
      <c r="N5"/>
      <c r="O5"/>
      <c r="P5"/>
    </row>
    <row r="6" spans="1:16" ht="18.75" customHeight="1" x14ac:dyDescent="0.35">
      <c r="A6" s="15" t="s">
        <v>118</v>
      </c>
      <c r="B6" s="122">
        <f>Unccalc1!B6</f>
        <v>916</v>
      </c>
      <c r="C6" s="13" t="s">
        <v>119</v>
      </c>
      <c r="D6" s="13"/>
      <c r="E6" s="13"/>
      <c r="F6" s="13"/>
      <c r="G6" s="13" t="s">
        <v>124</v>
      </c>
      <c r="H6" s="13" t="s">
        <v>125</v>
      </c>
      <c r="I6" s="14"/>
      <c r="J6"/>
      <c r="K6"/>
      <c r="L6"/>
      <c r="M6"/>
      <c r="N6"/>
      <c r="O6"/>
      <c r="P6"/>
    </row>
    <row r="7" spans="1:16" ht="18.75" customHeight="1" x14ac:dyDescent="0.35">
      <c r="A7" s="15" t="s">
        <v>111</v>
      </c>
      <c r="B7" s="122">
        <f>Unccalc1!B7</f>
        <v>0</v>
      </c>
      <c r="C7" s="13" t="s">
        <v>45</v>
      </c>
      <c r="D7" s="18">
        <f>B7/0.254</f>
        <v>0</v>
      </c>
      <c r="E7" s="13" t="s">
        <v>112</v>
      </c>
      <c r="F7" s="13"/>
      <c r="G7" s="13"/>
      <c r="H7" s="13"/>
      <c r="I7" s="14"/>
      <c r="J7"/>
      <c r="K7"/>
      <c r="L7"/>
      <c r="M7"/>
      <c r="N7"/>
      <c r="O7"/>
      <c r="P7"/>
    </row>
    <row r="8" spans="1:16" ht="18.75" customHeight="1" x14ac:dyDescent="0.35">
      <c r="A8" s="15" t="s">
        <v>79</v>
      </c>
      <c r="B8" s="122">
        <f>Unccalc1!B8</f>
        <v>23</v>
      </c>
      <c r="C8" s="13" t="s">
        <v>91</v>
      </c>
      <c r="D8" s="13"/>
      <c r="E8" s="13"/>
      <c r="F8" s="13"/>
      <c r="G8" s="13"/>
      <c r="H8" s="13"/>
      <c r="I8" s="14"/>
      <c r="J8"/>
      <c r="K8"/>
      <c r="L8"/>
      <c r="M8"/>
      <c r="N8"/>
      <c r="O8"/>
      <c r="P8"/>
    </row>
    <row r="9" spans="1:16" ht="18.75" customHeight="1" x14ac:dyDescent="0.35">
      <c r="A9" s="15" t="s">
        <v>80</v>
      </c>
      <c r="B9" s="122">
        <f>Unccalc1!B9</f>
        <v>3</v>
      </c>
      <c r="C9" s="13" t="s">
        <v>108</v>
      </c>
      <c r="D9" s="13"/>
      <c r="E9" s="13"/>
      <c r="F9" s="13"/>
      <c r="G9" s="13"/>
      <c r="H9" s="13"/>
      <c r="I9" s="14"/>
      <c r="J9"/>
      <c r="K9"/>
      <c r="L9"/>
      <c r="M9"/>
      <c r="N9"/>
      <c r="O9"/>
      <c r="P9"/>
    </row>
    <row r="10" spans="1:16" ht="18.75" customHeight="1" thickBot="1" x14ac:dyDescent="0.4">
      <c r="A10" s="19" t="s">
        <v>81</v>
      </c>
      <c r="B10" s="167">
        <f>Unccalc1!B10</f>
        <v>95</v>
      </c>
      <c r="C10" s="20" t="s">
        <v>82</v>
      </c>
      <c r="D10" s="20"/>
      <c r="E10" s="20"/>
      <c r="F10" s="20"/>
      <c r="G10" s="20"/>
      <c r="H10" s="20"/>
      <c r="I10" s="21"/>
      <c r="J10"/>
      <c r="K10"/>
      <c r="L10"/>
      <c r="M10"/>
      <c r="N10"/>
      <c r="O10"/>
      <c r="P10"/>
    </row>
    <row r="11" spans="1:16" ht="18.75" customHeight="1" thickBot="1" x14ac:dyDescent="0.4">
      <c r="A11" s="275" t="s">
        <v>0</v>
      </c>
      <c r="B11" s="276"/>
      <c r="C11" s="276"/>
      <c r="D11" s="281"/>
      <c r="E11" s="275" t="s">
        <v>68</v>
      </c>
      <c r="F11" s="276"/>
      <c r="G11" s="276"/>
      <c r="H11" s="276"/>
      <c r="I11" s="276"/>
      <c r="J11" s="270"/>
      <c r="K11" s="265" t="s">
        <v>1</v>
      </c>
      <c r="L11" s="266"/>
      <c r="M11" s="266"/>
      <c r="N11" s="266"/>
      <c r="O11" s="266"/>
      <c r="P11" s="267"/>
    </row>
    <row r="12" spans="1:16" x14ac:dyDescent="0.35">
      <c r="A12" s="23" t="s">
        <v>67</v>
      </c>
      <c r="B12" s="24" t="s">
        <v>2</v>
      </c>
      <c r="C12" s="24" t="s">
        <v>3</v>
      </c>
      <c r="D12" s="25"/>
      <c r="E12" s="277" t="s">
        <v>105</v>
      </c>
      <c r="F12" s="278"/>
      <c r="G12" s="26" t="s">
        <v>104</v>
      </c>
      <c r="H12" s="26" t="s">
        <v>101</v>
      </c>
      <c r="I12" s="24" t="s">
        <v>107</v>
      </c>
      <c r="J12" s="25" t="s">
        <v>4</v>
      </c>
      <c r="K12" s="23" t="s">
        <v>5</v>
      </c>
      <c r="L12" s="24" t="s">
        <v>5</v>
      </c>
      <c r="M12" s="24" t="s">
        <v>6</v>
      </c>
      <c r="N12" s="27" t="s">
        <v>56</v>
      </c>
      <c r="O12" s="24" t="s">
        <v>7</v>
      </c>
      <c r="P12" s="25" t="s">
        <v>54</v>
      </c>
    </row>
    <row r="13" spans="1:16" ht="26.5" thickBot="1" x14ac:dyDescent="0.4">
      <c r="A13" s="23" t="s">
        <v>8</v>
      </c>
      <c r="B13" s="24" t="s">
        <v>9</v>
      </c>
      <c r="C13" s="24" t="s">
        <v>10</v>
      </c>
      <c r="D13" s="25" t="s">
        <v>11</v>
      </c>
      <c r="E13" s="279" t="s">
        <v>120</v>
      </c>
      <c r="F13" s="280"/>
      <c r="G13" s="28" t="s">
        <v>106</v>
      </c>
      <c r="H13" s="28" t="s">
        <v>102</v>
      </c>
      <c r="I13" s="24"/>
      <c r="J13" s="25" t="s">
        <v>12</v>
      </c>
      <c r="K13" s="23" t="s">
        <v>13</v>
      </c>
      <c r="L13" s="24" t="s">
        <v>10</v>
      </c>
      <c r="M13" s="29" t="s">
        <v>85</v>
      </c>
      <c r="N13" s="30" t="s">
        <v>57</v>
      </c>
      <c r="O13" s="29" t="s">
        <v>84</v>
      </c>
      <c r="P13" s="25" t="s">
        <v>74</v>
      </c>
    </row>
    <row r="14" spans="1:16" ht="18.75" customHeight="1" thickBot="1" x14ac:dyDescent="0.4">
      <c r="A14" s="268" t="s">
        <v>14</v>
      </c>
      <c r="B14" s="269"/>
      <c r="C14" s="269"/>
      <c r="D14" s="270"/>
      <c r="E14" s="103"/>
      <c r="F14" s="104"/>
      <c r="G14" s="104"/>
      <c r="H14" s="105"/>
      <c r="I14" s="105"/>
      <c r="J14" s="106"/>
      <c r="K14" s="107"/>
      <c r="L14" s="108"/>
      <c r="M14" s="108"/>
      <c r="N14" s="109"/>
      <c r="O14" s="108"/>
      <c r="P14" s="110"/>
    </row>
    <row r="15" spans="1:16" ht="18.75" customHeight="1" x14ac:dyDescent="0.35">
      <c r="A15" s="31" t="s">
        <v>15</v>
      </c>
      <c r="B15" s="32" t="s">
        <v>16</v>
      </c>
      <c r="C15" s="126">
        <f>Unccalc1!C15</f>
        <v>8.4004740000000002E-5</v>
      </c>
      <c r="D15" s="33" t="s">
        <v>17</v>
      </c>
      <c r="E15" s="129">
        <f>Unccalc1!E15</f>
        <v>6.9999999999999996E-10</v>
      </c>
      <c r="F15" s="34" t="str">
        <f>IF(G15=1,"%",IF(G15=2,D15,"ERR"))</f>
        <v>m2</v>
      </c>
      <c r="G15" s="133">
        <f>Unccalc1!G15</f>
        <v>2</v>
      </c>
      <c r="H15" s="134">
        <f>Unccalc1!H15</f>
        <v>1</v>
      </c>
      <c r="I15" s="35">
        <f>IF(G15=1,E15/100*C15,E15)</f>
        <v>6.9999999999999996E-10</v>
      </c>
      <c r="J15" s="36">
        <f>IF(H15=1,I15/2,I15/SQRT(3))</f>
        <v>3.4999999999999998E-10</v>
      </c>
      <c r="K15" s="31" t="s">
        <v>87</v>
      </c>
      <c r="L15" s="35">
        <f>1/C15*B$2</f>
        <v>4103791694.8349395</v>
      </c>
      <c r="M15" s="37">
        <f>L15*J15</f>
        <v>1.4363270931922287</v>
      </c>
      <c r="N15" s="148">
        <f>Unccalc1!N15</f>
        <v>30</v>
      </c>
      <c r="O15" s="35">
        <f>M15^2</f>
        <v>2.0630355186380371</v>
      </c>
      <c r="P15" s="38">
        <f>SQRT(O15)/B$2*2000000</f>
        <v>8.3328631217714602</v>
      </c>
    </row>
    <row r="16" spans="1:16" ht="18.75" customHeight="1" x14ac:dyDescent="0.35">
      <c r="A16" s="39" t="s">
        <v>18</v>
      </c>
      <c r="B16" s="40" t="s">
        <v>19</v>
      </c>
      <c r="C16" s="127">
        <f>Unccalc1!C16</f>
        <v>9.0999999999999993E-6</v>
      </c>
      <c r="D16" s="41" t="s">
        <v>61</v>
      </c>
      <c r="E16" s="130">
        <f>Unccalc1!E16</f>
        <v>5.0000000000000008E-7</v>
      </c>
      <c r="F16" s="42" t="str">
        <f>IF(G16=1,"%",IF(G16=2,D16,"ERR"))</f>
        <v>°C-1</v>
      </c>
      <c r="G16" s="135">
        <f>Unccalc1!G16</f>
        <v>2</v>
      </c>
      <c r="H16" s="136">
        <f>Unccalc1!H16</f>
        <v>2</v>
      </c>
      <c r="I16" s="43">
        <f>IF(G16=1,E16/100*C16,E16)</f>
        <v>5.0000000000000008E-7</v>
      </c>
      <c r="J16" s="44">
        <f>IF(H16=1,I16/2,I16/SQRT(3))</f>
        <v>2.8867513459481294E-7</v>
      </c>
      <c r="K16" s="39" t="s">
        <v>78</v>
      </c>
      <c r="L16" s="43">
        <f>(C18-B8)*B2</f>
        <v>1034213.8630163053</v>
      </c>
      <c r="M16" s="45">
        <f>L16*J16</f>
        <v>0.29855182610605335</v>
      </c>
      <c r="N16" s="145">
        <f>Unccalc1!N16</f>
        <v>30</v>
      </c>
      <c r="O16" s="43">
        <f t="shared" ref="O16:O45" si="0">M16^2</f>
        <v>8.913319287125912E-2</v>
      </c>
      <c r="P16" s="46">
        <f>SQRT(O16)/B$2*2000000</f>
        <v>1.7320508075688776</v>
      </c>
    </row>
    <row r="17" spans="1:16" ht="18.75" customHeight="1" x14ac:dyDescent="0.35">
      <c r="A17" s="39" t="s">
        <v>20</v>
      </c>
      <c r="B17" s="40" t="s">
        <v>21</v>
      </c>
      <c r="C17" s="127">
        <f>Unccalc1!C17</f>
        <v>0</v>
      </c>
      <c r="D17" s="41" t="s">
        <v>61</v>
      </c>
      <c r="E17" s="130">
        <f>Unccalc1!E17</f>
        <v>2.2749999999999999E-7</v>
      </c>
      <c r="F17" s="42" t="str">
        <f t="shared" ref="F17:F24" si="1">IF(G17=1,"%",IF(G17=2,D17,"ERR"))</f>
        <v>°C-1</v>
      </c>
      <c r="G17" s="135">
        <f>Unccalc1!G17</f>
        <v>2</v>
      </c>
      <c r="H17" s="136">
        <f>Unccalc1!H17</f>
        <v>2</v>
      </c>
      <c r="I17" s="43">
        <f t="shared" ref="I17:I24" si="2">IF(G17=1,E17/100*C17,E17)</f>
        <v>2.2749999999999999E-7</v>
      </c>
      <c r="J17" s="44">
        <f t="shared" ref="J17:J45" si="3">IF(H17=1,I17/2,I17/SQRT(3))</f>
        <v>1.3134718624063987E-7</v>
      </c>
      <c r="K17" s="39" t="s">
        <v>78</v>
      </c>
      <c r="L17" s="43">
        <f>(C18-B8)*B2</f>
        <v>1034213.8630163053</v>
      </c>
      <c r="M17" s="45">
        <f t="shared" ref="M17:M24" si="4">L17*J17</f>
        <v>0.13584108087825425</v>
      </c>
      <c r="N17" s="145">
        <f>Unccalc1!N17</f>
        <v>30</v>
      </c>
      <c r="O17" s="43">
        <f t="shared" si="0"/>
        <v>1.8452799254172411E-2</v>
      </c>
      <c r="P17" s="46">
        <f t="shared" ref="P17:P24" si="5">SQRT(O17)/B$2*2000000</f>
        <v>0.78808311744383908</v>
      </c>
    </row>
    <row r="18" spans="1:16" ht="18.75" customHeight="1" x14ac:dyDescent="0.35">
      <c r="A18" s="39" t="s">
        <v>58</v>
      </c>
      <c r="B18" s="47" t="s">
        <v>59</v>
      </c>
      <c r="C18" s="127">
        <f>Unccalc1!C18</f>
        <v>26</v>
      </c>
      <c r="D18" s="48" t="s">
        <v>60</v>
      </c>
      <c r="E18" s="130">
        <f>Unccalc1!E18</f>
        <v>0.14099999999999999</v>
      </c>
      <c r="F18" s="42" t="str">
        <f t="shared" si="1"/>
        <v>°C</v>
      </c>
      <c r="G18" s="135">
        <f>Unccalc1!G18</f>
        <v>2</v>
      </c>
      <c r="H18" s="136">
        <f>Unccalc1!H18</f>
        <v>2</v>
      </c>
      <c r="I18" s="43">
        <f t="shared" si="2"/>
        <v>0.14099999999999999</v>
      </c>
      <c r="J18" s="44">
        <f t="shared" si="3"/>
        <v>8.1406387955737236E-2</v>
      </c>
      <c r="K18" s="39" t="s">
        <v>83</v>
      </c>
      <c r="L18" s="43">
        <f>(C16+C17)*B2</f>
        <v>3.1371153844827924</v>
      </c>
      <c r="M18" s="45">
        <f t="shared" si="4"/>
        <v>0.25538123205111796</v>
      </c>
      <c r="N18" s="145">
        <f>Unccalc1!N18</f>
        <v>30</v>
      </c>
      <c r="O18" s="43">
        <f t="shared" si="0"/>
        <v>6.5219573683946958E-2</v>
      </c>
      <c r="P18" s="46">
        <f t="shared" si="5"/>
        <v>1.4815962607944173</v>
      </c>
    </row>
    <row r="19" spans="1:16" ht="18.75" customHeight="1" x14ac:dyDescent="0.35">
      <c r="A19" s="39" t="s">
        <v>22</v>
      </c>
      <c r="B19" s="49" t="s">
        <v>98</v>
      </c>
      <c r="C19" s="127">
        <f>Unccalc1!C19</f>
        <v>0</v>
      </c>
      <c r="D19" s="50" t="s">
        <v>175</v>
      </c>
      <c r="E19" s="131">
        <f>Unccalc1!E19</f>
        <v>0</v>
      </c>
      <c r="F19" s="42" t="str">
        <f t="shared" si="1"/>
        <v>MPa-1</v>
      </c>
      <c r="G19" s="135">
        <f>Unccalc1!G19</f>
        <v>2</v>
      </c>
      <c r="H19" s="136">
        <f>Unccalc1!H19</f>
        <v>1</v>
      </c>
      <c r="I19" s="43">
        <f t="shared" si="2"/>
        <v>0</v>
      </c>
      <c r="J19" s="44">
        <f t="shared" si="3"/>
        <v>0</v>
      </c>
      <c r="K19" s="39" t="s">
        <v>172</v>
      </c>
      <c r="L19" s="43">
        <f>B2^2</f>
        <v>118844257161.67879</v>
      </c>
      <c r="M19" s="45">
        <f>L19*(J19/1000000)</f>
        <v>0</v>
      </c>
      <c r="N19" s="145">
        <f>Unccalc1!N19</f>
        <v>30</v>
      </c>
      <c r="O19" s="43">
        <f t="shared" si="0"/>
        <v>0</v>
      </c>
      <c r="P19" s="46">
        <f t="shared" si="5"/>
        <v>0</v>
      </c>
    </row>
    <row r="20" spans="1:16" ht="18.75" customHeight="1" x14ac:dyDescent="0.35">
      <c r="A20" s="39" t="s">
        <v>23</v>
      </c>
      <c r="B20" s="49" t="s">
        <v>24</v>
      </c>
      <c r="C20" s="127">
        <f>Unccalc1!C20</f>
        <v>0</v>
      </c>
      <c r="D20" s="50" t="s">
        <v>176</v>
      </c>
      <c r="E20" s="131">
        <f>Unccalc1!E20</f>
        <v>0</v>
      </c>
      <c r="F20" s="42" t="str">
        <f t="shared" si="1"/>
        <v>%</v>
      </c>
      <c r="G20" s="135">
        <f>Unccalc1!G20</f>
        <v>1</v>
      </c>
      <c r="H20" s="136">
        <f>Unccalc1!H20</f>
        <v>1</v>
      </c>
      <c r="I20" s="43">
        <f t="shared" si="2"/>
        <v>0</v>
      </c>
      <c r="J20" s="44">
        <f t="shared" si="3"/>
        <v>0</v>
      </c>
      <c r="K20" s="39" t="s">
        <v>173</v>
      </c>
      <c r="L20" s="43">
        <f>B2^3</f>
        <v>4.0970126098827672E+16</v>
      </c>
      <c r="M20" s="45">
        <f>L20*(J20/1000000^2)</f>
        <v>0</v>
      </c>
      <c r="N20" s="145">
        <f>Unccalc1!N20</f>
        <v>30</v>
      </c>
      <c r="O20" s="43">
        <f t="shared" si="0"/>
        <v>0</v>
      </c>
      <c r="P20" s="46">
        <f t="shared" si="5"/>
        <v>0</v>
      </c>
    </row>
    <row r="21" spans="1:16" ht="18.75" customHeight="1" x14ac:dyDescent="0.35">
      <c r="A21" s="39" t="s">
        <v>136</v>
      </c>
      <c r="B21" s="47" t="s">
        <v>103</v>
      </c>
      <c r="C21" s="127">
        <f>B2</f>
        <v>344737.95433876844</v>
      </c>
      <c r="D21" s="50" t="s">
        <v>50</v>
      </c>
      <c r="E21" s="131">
        <f>Unccalc1!E21</f>
        <v>2.0000000000000001E-4</v>
      </c>
      <c r="F21" s="42" t="str">
        <f t="shared" si="1"/>
        <v>%</v>
      </c>
      <c r="G21" s="135">
        <f>Unccalc1!G21</f>
        <v>1</v>
      </c>
      <c r="H21" s="136">
        <f>Unccalc1!H21</f>
        <v>1</v>
      </c>
      <c r="I21" s="43">
        <f t="shared" si="2"/>
        <v>0.68947590867753683</v>
      </c>
      <c r="J21" s="44">
        <f t="shared" si="3"/>
        <v>0.34473795433876842</v>
      </c>
      <c r="K21" s="39">
        <v>1</v>
      </c>
      <c r="L21" s="43">
        <v>1</v>
      </c>
      <c r="M21" s="45">
        <f t="shared" si="4"/>
        <v>0.34473795433876842</v>
      </c>
      <c r="N21" s="145">
        <f>Unccalc1!N21</f>
        <v>30</v>
      </c>
      <c r="O21" s="43">
        <f t="shared" si="0"/>
        <v>0.11884425716167878</v>
      </c>
      <c r="P21" s="46">
        <f t="shared" si="5"/>
        <v>2</v>
      </c>
    </row>
    <row r="22" spans="1:16" ht="18.75" customHeight="1" x14ac:dyDescent="0.35">
      <c r="A22" s="39" t="s">
        <v>62</v>
      </c>
      <c r="B22" s="47" t="s">
        <v>103</v>
      </c>
      <c r="C22" s="127">
        <f>B2</f>
        <v>344737.95433876844</v>
      </c>
      <c r="D22" s="50" t="s">
        <v>50</v>
      </c>
      <c r="E22" s="131">
        <f>Unccalc1!E22</f>
        <v>1.5E-5</v>
      </c>
      <c r="F22" s="42" t="str">
        <f t="shared" si="1"/>
        <v>%</v>
      </c>
      <c r="G22" s="135">
        <f>Unccalc1!G22</f>
        <v>1</v>
      </c>
      <c r="H22" s="136">
        <f>Unccalc1!H22</f>
        <v>1</v>
      </c>
      <c r="I22" s="43">
        <f t="shared" si="2"/>
        <v>5.1710693150815265E-2</v>
      </c>
      <c r="J22" s="44">
        <f t="shared" si="3"/>
        <v>2.5855346575407633E-2</v>
      </c>
      <c r="K22" s="39">
        <v>1</v>
      </c>
      <c r="L22" s="43">
        <v>1</v>
      </c>
      <c r="M22" s="45">
        <f t="shared" si="4"/>
        <v>2.5855346575407633E-2</v>
      </c>
      <c r="N22" s="145">
        <f>Unccalc1!N22</f>
        <v>30</v>
      </c>
      <c r="O22" s="43">
        <f t="shared" si="0"/>
        <v>6.6849894653444317E-4</v>
      </c>
      <c r="P22" s="46">
        <f t="shared" si="5"/>
        <v>0.15</v>
      </c>
    </row>
    <row r="23" spans="1:16" ht="18.75" customHeight="1" x14ac:dyDescent="0.35">
      <c r="A23" s="39" t="s">
        <v>135</v>
      </c>
      <c r="B23" s="47" t="s">
        <v>103</v>
      </c>
      <c r="C23" s="127">
        <f>B2</f>
        <v>344737.95433876844</v>
      </c>
      <c r="D23" s="50" t="s">
        <v>50</v>
      </c>
      <c r="E23" s="131">
        <f>Unccalc1!E23</f>
        <v>1.4999999999999999E-2</v>
      </c>
      <c r="F23" s="42" t="str">
        <f t="shared" si="1"/>
        <v>Pa</v>
      </c>
      <c r="G23" s="135">
        <f>Unccalc1!G23</f>
        <v>2</v>
      </c>
      <c r="H23" s="136">
        <f>Unccalc1!H23</f>
        <v>1</v>
      </c>
      <c r="I23" s="43">
        <f t="shared" si="2"/>
        <v>1.4999999999999999E-2</v>
      </c>
      <c r="J23" s="44">
        <f t="shared" si="3"/>
        <v>7.4999999999999997E-3</v>
      </c>
      <c r="K23" s="39">
        <v>1</v>
      </c>
      <c r="L23" s="43">
        <v>1</v>
      </c>
      <c r="M23" s="45">
        <f t="shared" si="4"/>
        <v>7.4999999999999997E-3</v>
      </c>
      <c r="N23" s="145">
        <f>Unccalc1!N23</f>
        <v>30</v>
      </c>
      <c r="O23" s="43">
        <f t="shared" si="0"/>
        <v>5.6249999999999998E-5</v>
      </c>
      <c r="P23" s="46">
        <f t="shared" si="5"/>
        <v>4.3511310000000004E-2</v>
      </c>
    </row>
    <row r="24" spans="1:16" ht="18.75" customHeight="1" thickBot="1" x14ac:dyDescent="0.4">
      <c r="A24" s="52" t="s">
        <v>25</v>
      </c>
      <c r="B24" s="53" t="s">
        <v>16</v>
      </c>
      <c r="C24" s="128">
        <f>Unccalc1!C24</f>
        <v>8.4004740000000002E-5</v>
      </c>
      <c r="D24" s="54" t="s">
        <v>17</v>
      </c>
      <c r="E24" s="132">
        <f>Unccalc1!E24</f>
        <v>4.4748809999999999E-10</v>
      </c>
      <c r="F24" s="55" t="str">
        <f t="shared" si="1"/>
        <v>m2</v>
      </c>
      <c r="G24" s="137">
        <f>Unccalc1!G24</f>
        <v>2</v>
      </c>
      <c r="H24" s="138">
        <f>Unccalc1!H24</f>
        <v>1</v>
      </c>
      <c r="I24" s="56">
        <f t="shared" si="2"/>
        <v>4.4748809999999999E-10</v>
      </c>
      <c r="J24" s="57">
        <f t="shared" si="3"/>
        <v>2.2374404999999999E-10</v>
      </c>
      <c r="K24" s="52" t="s">
        <v>88</v>
      </c>
      <c r="L24" s="56">
        <f>1/C24*B$2</f>
        <v>4103791694.8349395</v>
      </c>
      <c r="M24" s="58">
        <f t="shared" si="4"/>
        <v>0.91819897415873342</v>
      </c>
      <c r="N24" s="147">
        <f>Unccalc1!N24</f>
        <v>30</v>
      </c>
      <c r="O24" s="56">
        <f t="shared" si="0"/>
        <v>0.84308935614615044</v>
      </c>
      <c r="P24" s="59">
        <f t="shared" si="5"/>
        <v>5.3269386941736858</v>
      </c>
    </row>
    <row r="25" spans="1:16" ht="18.75" customHeight="1" thickBot="1" x14ac:dyDescent="0.4">
      <c r="A25" s="268" t="s">
        <v>26</v>
      </c>
      <c r="B25" s="269"/>
      <c r="C25" s="269"/>
      <c r="D25" s="270"/>
      <c r="E25" s="111"/>
      <c r="F25" s="112"/>
      <c r="G25" s="113"/>
      <c r="H25" s="114"/>
      <c r="I25" s="105"/>
      <c r="J25" s="106"/>
      <c r="K25" s="107"/>
      <c r="L25" s="108"/>
      <c r="M25" s="115"/>
      <c r="N25" s="109"/>
      <c r="O25" s="108"/>
      <c r="P25" s="110"/>
    </row>
    <row r="26" spans="1:16" ht="18.75" customHeight="1" x14ac:dyDescent="0.35">
      <c r="A26" s="60" t="s">
        <v>27</v>
      </c>
      <c r="B26" s="61" t="s">
        <v>28</v>
      </c>
      <c r="C26" s="62">
        <f>B2/B5</f>
        <v>2.9530596301856513</v>
      </c>
      <c r="D26" s="63" t="s">
        <v>29</v>
      </c>
      <c r="E26" s="129">
        <f>Unccalc1!E26</f>
        <v>5.0000000000000001E-4</v>
      </c>
      <c r="F26" s="34" t="str">
        <f>IF(G26=1,"%",IF(G26=2,D26,"ERR"))</f>
        <v>%</v>
      </c>
      <c r="G26" s="141">
        <f>Unccalc1!G26</f>
        <v>1</v>
      </c>
      <c r="H26" s="142">
        <f>Unccalc1!H26</f>
        <v>1</v>
      </c>
      <c r="I26" s="35">
        <f>IF(G26=1,E26/100*C26,E26)</f>
        <v>1.4765298150928258E-5</v>
      </c>
      <c r="J26" s="64">
        <f t="shared" si="3"/>
        <v>7.3826490754641288E-6</v>
      </c>
      <c r="K26" s="65" t="s">
        <v>174</v>
      </c>
      <c r="L26" s="66">
        <f>B5</f>
        <v>116739.24590445729</v>
      </c>
      <c r="M26" s="37">
        <f>L26*J26</f>
        <v>0.8618448858469212</v>
      </c>
      <c r="N26" s="144">
        <f>Unccalc1!N26</f>
        <v>30</v>
      </c>
      <c r="O26" s="66">
        <f t="shared" si="0"/>
        <v>0.74277660726049266</v>
      </c>
      <c r="P26" s="38">
        <f>M26/B$2*2000000</f>
        <v>5</v>
      </c>
    </row>
    <row r="27" spans="1:16" ht="18.75" customHeight="1" x14ac:dyDescent="0.35">
      <c r="A27" s="39" t="s">
        <v>92</v>
      </c>
      <c r="B27" s="49" t="s">
        <v>28</v>
      </c>
      <c r="C27" s="67">
        <f>C26</f>
        <v>2.9530596301856513</v>
      </c>
      <c r="D27" s="50" t="s">
        <v>29</v>
      </c>
      <c r="E27" s="131">
        <f>Unccalc1!E27</f>
        <v>0</v>
      </c>
      <c r="F27" s="42" t="str">
        <f>IF(G27=1,"%",IF(G27=2,D27,"ERR"))</f>
        <v>kg</v>
      </c>
      <c r="G27" s="143">
        <f>Unccalc1!G27</f>
        <v>2</v>
      </c>
      <c r="H27" s="136">
        <f>Unccalc1!H27</f>
        <v>1</v>
      </c>
      <c r="I27" s="43">
        <f>IF(G27=1,E27/100*C27,E27)</f>
        <v>0</v>
      </c>
      <c r="J27" s="44">
        <f t="shared" si="3"/>
        <v>0</v>
      </c>
      <c r="K27" s="39" t="s">
        <v>174</v>
      </c>
      <c r="L27" s="43">
        <f>B5</f>
        <v>116739.24590445729</v>
      </c>
      <c r="M27" s="45">
        <f>L27*J27</f>
        <v>0</v>
      </c>
      <c r="N27" s="145">
        <f>Unccalc1!N27</f>
        <v>30</v>
      </c>
      <c r="O27" s="43">
        <f t="shared" si="0"/>
        <v>0</v>
      </c>
      <c r="P27" s="46">
        <f>SQRT(O27)/B$2*2000000</f>
        <v>0</v>
      </c>
    </row>
    <row r="28" spans="1:16" ht="18.75" customHeight="1" x14ac:dyDescent="0.35">
      <c r="A28" s="39" t="s">
        <v>94</v>
      </c>
      <c r="B28" s="49" t="s">
        <v>28</v>
      </c>
      <c r="C28" s="127">
        <f>Unccalc1!C28</f>
        <v>0</v>
      </c>
      <c r="D28" s="50" t="s">
        <v>29</v>
      </c>
      <c r="E28" s="131">
        <f>Unccalc1!E28</f>
        <v>0</v>
      </c>
      <c r="F28" s="42" t="str">
        <f t="shared" ref="F28:F45" si="6">IF(G28=1,"%",IF(G28=2,D28,"ERR"))</f>
        <v>kg</v>
      </c>
      <c r="G28" s="143">
        <f>Unccalc1!G28</f>
        <v>2</v>
      </c>
      <c r="H28" s="136">
        <f>Unccalc1!H28</f>
        <v>1</v>
      </c>
      <c r="I28" s="43">
        <f t="shared" ref="I28:I38" si="7">IF(G28=1,E28/100*C28,E28)</f>
        <v>0</v>
      </c>
      <c r="J28" s="44">
        <f t="shared" si="3"/>
        <v>0</v>
      </c>
      <c r="K28" s="39" t="s">
        <v>174</v>
      </c>
      <c r="L28" s="43">
        <f>B5</f>
        <v>116739.24590445729</v>
      </c>
      <c r="M28" s="45">
        <f t="shared" ref="M28:M36" si="8">L28*J28</f>
        <v>0</v>
      </c>
      <c r="N28" s="145">
        <f>Unccalc1!N28</f>
        <v>30</v>
      </c>
      <c r="O28" s="43">
        <f t="shared" si="0"/>
        <v>0</v>
      </c>
      <c r="P28" s="46">
        <f t="shared" ref="P28:P38" si="9">SQRT(O28)/B$2*2000000</f>
        <v>0</v>
      </c>
    </row>
    <row r="29" spans="1:16" ht="18.75" customHeight="1" x14ac:dyDescent="0.35">
      <c r="A29" s="39" t="s">
        <v>129</v>
      </c>
      <c r="B29" s="49" t="s">
        <v>28</v>
      </c>
      <c r="C29" s="127">
        <f>Unccalc1!C29</f>
        <v>9.7201899999999994E-2</v>
      </c>
      <c r="D29" s="50" t="s">
        <v>29</v>
      </c>
      <c r="E29" s="131">
        <f>Unccalc1!E29</f>
        <v>4.9999999999999998E-7</v>
      </c>
      <c r="F29" s="42" t="str">
        <f t="shared" si="6"/>
        <v>kg</v>
      </c>
      <c r="G29" s="143">
        <f>Unccalc1!G29</f>
        <v>2</v>
      </c>
      <c r="H29" s="136">
        <f>Unccalc1!H29</f>
        <v>1</v>
      </c>
      <c r="I29" s="43">
        <f t="shared" si="7"/>
        <v>4.9999999999999998E-7</v>
      </c>
      <c r="J29" s="44">
        <f t="shared" si="3"/>
        <v>2.4999999999999999E-7</v>
      </c>
      <c r="K29" s="39" t="s">
        <v>174</v>
      </c>
      <c r="L29" s="43">
        <f>B5</f>
        <v>116739.24590445729</v>
      </c>
      <c r="M29" s="45">
        <f t="shared" si="8"/>
        <v>2.918481147611432E-2</v>
      </c>
      <c r="N29" s="145">
        <f>Unccalc1!N29</f>
        <v>30</v>
      </c>
      <c r="O29" s="43">
        <f t="shared" si="0"/>
        <v>8.5175322089633412E-4</v>
      </c>
      <c r="P29" s="46">
        <f t="shared" si="9"/>
        <v>0.16931591725716905</v>
      </c>
    </row>
    <row r="30" spans="1:16" ht="18.75" customHeight="1" x14ac:dyDescent="0.35">
      <c r="A30" s="39" t="s">
        <v>130</v>
      </c>
      <c r="B30" s="49" t="s">
        <v>28</v>
      </c>
      <c r="C30" s="127">
        <f>Unccalc1!C30</f>
        <v>0.1127615</v>
      </c>
      <c r="D30" s="50" t="s">
        <v>29</v>
      </c>
      <c r="E30" s="131">
        <f>Unccalc1!E30</f>
        <v>4.9999999999999998E-7</v>
      </c>
      <c r="F30" s="42" t="str">
        <f t="shared" si="6"/>
        <v>kg</v>
      </c>
      <c r="G30" s="143">
        <f>Unccalc1!G30</f>
        <v>2</v>
      </c>
      <c r="H30" s="136">
        <f>Unccalc1!H30</f>
        <v>1</v>
      </c>
      <c r="I30" s="43">
        <f t="shared" si="7"/>
        <v>4.9999999999999998E-7</v>
      </c>
      <c r="J30" s="44">
        <f t="shared" si="3"/>
        <v>2.4999999999999999E-7</v>
      </c>
      <c r="K30" s="39" t="s">
        <v>174</v>
      </c>
      <c r="L30" s="43">
        <f>B5</f>
        <v>116739.24590445729</v>
      </c>
      <c r="M30" s="45">
        <f t="shared" si="8"/>
        <v>2.918481147611432E-2</v>
      </c>
      <c r="N30" s="145">
        <f>Unccalc1!N30</f>
        <v>30</v>
      </c>
      <c r="O30" s="43">
        <f t="shared" si="0"/>
        <v>8.5175322089633412E-4</v>
      </c>
      <c r="P30" s="46">
        <f t="shared" si="9"/>
        <v>0.16931591725716905</v>
      </c>
    </row>
    <row r="31" spans="1:16" ht="18.75" customHeight="1" x14ac:dyDescent="0.35">
      <c r="A31" s="39" t="s">
        <v>30</v>
      </c>
      <c r="B31" s="49" t="s">
        <v>31</v>
      </c>
      <c r="C31" s="127">
        <f>Unccalc1!C31</f>
        <v>9.8066499999999994</v>
      </c>
      <c r="D31" s="50" t="s">
        <v>32</v>
      </c>
      <c r="E31" s="131">
        <f>Unccalc1!E31</f>
        <v>3.9999999999999998E-11</v>
      </c>
      <c r="F31" s="42" t="str">
        <f t="shared" si="6"/>
        <v>m/sec2</v>
      </c>
      <c r="G31" s="143">
        <f>Unccalc1!G31</f>
        <v>2</v>
      </c>
      <c r="H31" s="136">
        <f>Unccalc1!H31</f>
        <v>1</v>
      </c>
      <c r="I31" s="43">
        <f t="shared" si="7"/>
        <v>3.9999999999999998E-11</v>
      </c>
      <c r="J31" s="44">
        <f t="shared" si="3"/>
        <v>1.9999999999999999E-11</v>
      </c>
      <c r="K31" s="39" t="s">
        <v>89</v>
      </c>
      <c r="L31" s="43">
        <f>1/C31*B2</f>
        <v>35153.48812680869</v>
      </c>
      <c r="M31" s="45">
        <f t="shared" si="8"/>
        <v>7.0306976253617375E-7</v>
      </c>
      <c r="N31" s="145">
        <f>Unccalc1!N31</f>
        <v>30</v>
      </c>
      <c r="O31" s="43">
        <f t="shared" si="0"/>
        <v>4.9430709099267176E-13</v>
      </c>
      <c r="P31" s="46">
        <f t="shared" si="9"/>
        <v>4.0788648519117121E-6</v>
      </c>
    </row>
    <row r="32" spans="1:16" ht="18.75" customHeight="1" x14ac:dyDescent="0.35">
      <c r="A32" s="39" t="s">
        <v>33</v>
      </c>
      <c r="B32" s="51" t="s">
        <v>34</v>
      </c>
      <c r="C32" s="127">
        <f>Unccalc1!C32</f>
        <v>1.2</v>
      </c>
      <c r="D32" s="50" t="s">
        <v>35</v>
      </c>
      <c r="E32" s="131">
        <f>Unccalc1!E32</f>
        <v>7.0000000000000001E-3</v>
      </c>
      <c r="F32" s="42" t="str">
        <f t="shared" si="6"/>
        <v>kg/m3</v>
      </c>
      <c r="G32" s="143">
        <f>Unccalc1!G32</f>
        <v>2</v>
      </c>
      <c r="H32" s="136">
        <f>Unccalc1!H32</f>
        <v>1</v>
      </c>
      <c r="I32" s="43">
        <f t="shared" si="7"/>
        <v>7.0000000000000001E-3</v>
      </c>
      <c r="J32" s="44">
        <f>IF(B$3=1,0,IF(H32=1,I32/2,I32/SQRT(3)))</f>
        <v>0</v>
      </c>
      <c r="K32" s="68" t="s">
        <v>90</v>
      </c>
      <c r="L32" s="43">
        <f>1/C36*B2</f>
        <v>44.197173633175439</v>
      </c>
      <c r="M32" s="45">
        <f t="shared" si="8"/>
        <v>0</v>
      </c>
      <c r="N32" s="145">
        <f>Unccalc1!N32</f>
        <v>30</v>
      </c>
      <c r="O32" s="43">
        <f t="shared" si="0"/>
        <v>0</v>
      </c>
      <c r="P32" s="46">
        <f t="shared" si="9"/>
        <v>0</v>
      </c>
    </row>
    <row r="33" spans="1:16" ht="18.75" customHeight="1" x14ac:dyDescent="0.35">
      <c r="A33" s="39" t="s">
        <v>69</v>
      </c>
      <c r="B33" s="69" t="s">
        <v>75</v>
      </c>
      <c r="C33" s="127">
        <f>Unccalc1!C33</f>
        <v>101325</v>
      </c>
      <c r="D33" s="50" t="s">
        <v>50</v>
      </c>
      <c r="E33" s="131">
        <f>Unccalc1!E33</f>
        <v>140</v>
      </c>
      <c r="F33" s="42" t="str">
        <f t="shared" si="6"/>
        <v>Pa</v>
      </c>
      <c r="G33" s="143">
        <f>Unccalc1!G33</f>
        <v>2</v>
      </c>
      <c r="H33" s="136">
        <f>Unccalc1!H33</f>
        <v>1</v>
      </c>
      <c r="I33" s="43">
        <f t="shared" si="7"/>
        <v>140</v>
      </c>
      <c r="J33" s="44">
        <f>IF(E$32=0,IF(B$3=1,0,IF(H33=1,I33/2,I33/SQRT(3))),0)</f>
        <v>0</v>
      </c>
      <c r="K33" s="118" t="s">
        <v>132</v>
      </c>
      <c r="L33" s="43">
        <f>0.0000015*B2</f>
        <v>0.51710693150815268</v>
      </c>
      <c r="M33" s="45">
        <f>L33*J33/1000</f>
        <v>0</v>
      </c>
      <c r="N33" s="145">
        <f>Unccalc1!N33</f>
        <v>30</v>
      </c>
      <c r="O33" s="43">
        <f t="shared" si="0"/>
        <v>0</v>
      </c>
      <c r="P33" s="46">
        <f t="shared" si="9"/>
        <v>0</v>
      </c>
    </row>
    <row r="34" spans="1:16" ht="18.75" customHeight="1" x14ac:dyDescent="0.35">
      <c r="A34" s="39" t="s">
        <v>70</v>
      </c>
      <c r="B34" s="69" t="s">
        <v>76</v>
      </c>
      <c r="C34" s="127">
        <f>Unccalc1!C34</f>
        <v>22</v>
      </c>
      <c r="D34" s="48" t="s">
        <v>60</v>
      </c>
      <c r="E34" s="131">
        <f>Unccalc1!E34</f>
        <v>0.14000000000000001</v>
      </c>
      <c r="F34" s="42" t="str">
        <f t="shared" si="6"/>
        <v>°C</v>
      </c>
      <c r="G34" s="143">
        <f>Unccalc1!G34</f>
        <v>2</v>
      </c>
      <c r="H34" s="136">
        <f>Unccalc1!H34</f>
        <v>1</v>
      </c>
      <c r="I34" s="43">
        <f t="shared" si="7"/>
        <v>0.14000000000000001</v>
      </c>
      <c r="J34" s="44">
        <f t="shared" ref="J34:J35" si="10">IF(E$32=0,IF(B$3=1,0,IF(H34=1,I34/2,I34/SQRT(3))),0)</f>
        <v>0</v>
      </c>
      <c r="K34" s="118" t="s">
        <v>133</v>
      </c>
      <c r="L34" s="43">
        <f>0.00000055*B2</f>
        <v>0.18960587488632266</v>
      </c>
      <c r="M34" s="45">
        <f t="shared" si="8"/>
        <v>0</v>
      </c>
      <c r="N34" s="145">
        <f>Unccalc1!N34</f>
        <v>30</v>
      </c>
      <c r="O34" s="43">
        <f t="shared" si="0"/>
        <v>0</v>
      </c>
      <c r="P34" s="46">
        <f t="shared" si="9"/>
        <v>0</v>
      </c>
    </row>
    <row r="35" spans="1:16" ht="18.75" customHeight="1" x14ac:dyDescent="0.35">
      <c r="A35" s="39" t="s">
        <v>71</v>
      </c>
      <c r="B35" s="69" t="s">
        <v>77</v>
      </c>
      <c r="C35" s="127">
        <f>Unccalc1!C35</f>
        <v>50</v>
      </c>
      <c r="D35" s="50" t="s">
        <v>113</v>
      </c>
      <c r="E35" s="131">
        <f>Unccalc1!E35</f>
        <v>10</v>
      </c>
      <c r="F35" s="70" t="str">
        <f t="shared" si="6"/>
        <v>%RH</v>
      </c>
      <c r="G35" s="143">
        <f>Unccalc1!G35</f>
        <v>2</v>
      </c>
      <c r="H35" s="136">
        <f>Unccalc1!H35</f>
        <v>1</v>
      </c>
      <c r="I35" s="43">
        <f t="shared" si="7"/>
        <v>10</v>
      </c>
      <c r="J35" s="44">
        <f t="shared" si="10"/>
        <v>0</v>
      </c>
      <c r="K35" s="118" t="s">
        <v>134</v>
      </c>
      <c r="L35" s="43">
        <f>0.000000012*B2</f>
        <v>4.1368554520652212E-3</v>
      </c>
      <c r="M35" s="45">
        <f t="shared" si="8"/>
        <v>0</v>
      </c>
      <c r="N35" s="145">
        <f>Unccalc1!N35</f>
        <v>30</v>
      </c>
      <c r="O35" s="43">
        <f t="shared" si="0"/>
        <v>0</v>
      </c>
      <c r="P35" s="46">
        <f t="shared" si="9"/>
        <v>0</v>
      </c>
    </row>
    <row r="36" spans="1:16" ht="18.75" customHeight="1" x14ac:dyDescent="0.35">
      <c r="A36" s="39" t="s">
        <v>86</v>
      </c>
      <c r="B36" s="51" t="s">
        <v>36</v>
      </c>
      <c r="C36" s="127">
        <f>Unccalc1!C36</f>
        <v>7800</v>
      </c>
      <c r="D36" s="50" t="s">
        <v>35</v>
      </c>
      <c r="E36" s="131">
        <f>Unccalc1!E36</f>
        <v>40</v>
      </c>
      <c r="F36" s="70" t="str">
        <f t="shared" si="6"/>
        <v>kg/m3</v>
      </c>
      <c r="G36" s="143">
        <f>Unccalc1!G36</f>
        <v>2</v>
      </c>
      <c r="H36" s="136">
        <f>Unccalc1!H36</f>
        <v>2</v>
      </c>
      <c r="I36" s="43">
        <f t="shared" si="7"/>
        <v>40</v>
      </c>
      <c r="J36" s="44">
        <f>IF(B3=1,IF(H36=1,I36/2,I36/SQRT(3)),0)</f>
        <v>23.094010767585033</v>
      </c>
      <c r="K36" s="68" t="s">
        <v>93</v>
      </c>
      <c r="L36" s="43">
        <f>C32/C36^2*B2</f>
        <v>6.7995651743346834E-3</v>
      </c>
      <c r="M36" s="45">
        <f t="shared" si="8"/>
        <v>0.15702923135098137</v>
      </c>
      <c r="N36" s="145">
        <f>Unccalc1!N36</f>
        <v>30</v>
      </c>
      <c r="O36" s="43">
        <f t="shared" si="0"/>
        <v>2.465817949868003E-2</v>
      </c>
      <c r="P36" s="46">
        <f t="shared" si="9"/>
        <v>0.91100634191656937</v>
      </c>
    </row>
    <row r="37" spans="1:16" ht="18.75" customHeight="1" x14ac:dyDescent="0.35">
      <c r="A37" s="71" t="s">
        <v>114</v>
      </c>
      <c r="B37" s="72" t="s">
        <v>115</v>
      </c>
      <c r="C37" s="139">
        <f>Unccalc1!C37</f>
        <v>3.2000000000000001E-2</v>
      </c>
      <c r="D37" s="73" t="s">
        <v>116</v>
      </c>
      <c r="E37" s="140">
        <f>Unccalc1!E37</f>
        <v>10</v>
      </c>
      <c r="F37" s="70" t="str">
        <f t="shared" si="6"/>
        <v>%</v>
      </c>
      <c r="G37" s="143">
        <f>Unccalc1!G37</f>
        <v>1</v>
      </c>
      <c r="H37" s="136">
        <f>Unccalc1!H37</f>
        <v>2</v>
      </c>
      <c r="I37" s="43">
        <f t="shared" si="7"/>
        <v>3.2000000000000002E-3</v>
      </c>
      <c r="J37" s="44">
        <f>IF(B3=1,0,IF(OR(B4=2,B4=3),IF(H37=1,I37/2,I37/SQRT(3)),0))</f>
        <v>0</v>
      </c>
      <c r="K37" s="116" t="s">
        <v>127</v>
      </c>
      <c r="L37" s="74">
        <f>(PI()*SQRT(C15/PI())*2)/C15</f>
        <v>386.77022759349387</v>
      </c>
      <c r="M37" s="75">
        <f>L37*J37</f>
        <v>0</v>
      </c>
      <c r="N37" s="146">
        <f>Unccalc1!N37</f>
        <v>30</v>
      </c>
      <c r="O37" s="74">
        <f t="shared" si="0"/>
        <v>0</v>
      </c>
      <c r="P37" s="76">
        <f t="shared" si="9"/>
        <v>0</v>
      </c>
    </row>
    <row r="38" spans="1:16" ht="18.75" customHeight="1" thickBot="1" x14ac:dyDescent="0.4">
      <c r="A38" s="52" t="s">
        <v>37</v>
      </c>
      <c r="B38" s="77" t="s">
        <v>38</v>
      </c>
      <c r="C38" s="128">
        <f>Unccalc1!C38</f>
        <v>0</v>
      </c>
      <c r="D38" s="54" t="s">
        <v>39</v>
      </c>
      <c r="E38" s="132">
        <f>Unccalc1!E38</f>
        <v>0.05</v>
      </c>
      <c r="F38" s="55" t="str">
        <f t="shared" si="6"/>
        <v>deg.</v>
      </c>
      <c r="G38" s="137">
        <f>Unccalc1!G38</f>
        <v>2</v>
      </c>
      <c r="H38" s="138">
        <f>Unccalc1!H38</f>
        <v>2</v>
      </c>
      <c r="I38" s="56">
        <f t="shared" si="7"/>
        <v>0.05</v>
      </c>
      <c r="J38" s="57">
        <f t="shared" si="3"/>
        <v>2.8867513459481291E-2</v>
      </c>
      <c r="K38" s="52" t="s">
        <v>109</v>
      </c>
      <c r="L38" s="56">
        <f>(1-COS(RADIANS(J38)))*B2</f>
        <v>4.375549331698339E-2</v>
      </c>
      <c r="M38" s="58">
        <f>L38</f>
        <v>4.375549331698339E-2</v>
      </c>
      <c r="N38" s="147">
        <f>Unccalc1!N38</f>
        <v>30</v>
      </c>
      <c r="O38" s="56">
        <f t="shared" si="0"/>
        <v>1.9145431954125782E-3</v>
      </c>
      <c r="P38" s="59">
        <f t="shared" si="9"/>
        <v>0.2538478445224257</v>
      </c>
    </row>
    <row r="39" spans="1:16" ht="18.75" customHeight="1" thickBot="1" x14ac:dyDescent="0.4">
      <c r="A39" s="268" t="s">
        <v>40</v>
      </c>
      <c r="B39" s="269"/>
      <c r="C39" s="269"/>
      <c r="D39" s="270"/>
      <c r="E39" s="111"/>
      <c r="F39" s="112"/>
      <c r="G39" s="113"/>
      <c r="H39" s="114"/>
      <c r="I39" s="105"/>
      <c r="J39" s="106"/>
      <c r="K39" s="107"/>
      <c r="L39" s="108"/>
      <c r="M39" s="115"/>
      <c r="N39" s="109"/>
      <c r="O39" s="108"/>
      <c r="P39" s="110"/>
    </row>
    <row r="40" spans="1:16" ht="18.75" customHeight="1" x14ac:dyDescent="0.35">
      <c r="A40" s="39" t="s">
        <v>41</v>
      </c>
      <c r="B40" s="51" t="s">
        <v>42</v>
      </c>
      <c r="C40" s="67">
        <f>IF(B4=2,B6,IF(B4=3,998.2123,1.1647*G2/C33))</f>
        <v>3.9626577391400311</v>
      </c>
      <c r="D40" s="50" t="s">
        <v>35</v>
      </c>
      <c r="E40" s="149">
        <f>Unccalc1!E40</f>
        <v>0.1</v>
      </c>
      <c r="F40" s="78" t="str">
        <f t="shared" si="6"/>
        <v>%</v>
      </c>
      <c r="G40" s="150">
        <f>Unccalc1!G40</f>
        <v>1</v>
      </c>
      <c r="H40" s="136">
        <f>Unccalc1!H40</f>
        <v>1</v>
      </c>
      <c r="I40" s="35">
        <f>IF(G40=1,E40/100*C40,E40)</f>
        <v>3.9626577391400309E-3</v>
      </c>
      <c r="J40" s="44">
        <f t="shared" si="3"/>
        <v>1.9813288695700155E-3</v>
      </c>
      <c r="K40" s="39" t="s">
        <v>121</v>
      </c>
      <c r="L40" s="43">
        <f>C15*C41/C26*B2</f>
        <v>0</v>
      </c>
      <c r="M40" s="37">
        <f>L40*J40</f>
        <v>0</v>
      </c>
      <c r="N40" s="145">
        <f>Unccalc1!N40</f>
        <v>30</v>
      </c>
      <c r="O40" s="43">
        <f t="shared" si="0"/>
        <v>0</v>
      </c>
      <c r="P40" s="38">
        <f>SQRT(O40)/B$2*2000000</f>
        <v>0</v>
      </c>
    </row>
    <row r="41" spans="1:16" ht="18.75" customHeight="1" x14ac:dyDescent="0.35">
      <c r="A41" s="39" t="s">
        <v>43</v>
      </c>
      <c r="B41" s="49" t="s">
        <v>44</v>
      </c>
      <c r="C41" s="127">
        <f>Unccalc1!C41</f>
        <v>0</v>
      </c>
      <c r="D41" s="50" t="s">
        <v>45</v>
      </c>
      <c r="E41" s="131">
        <f>Unccalc1!E41</f>
        <v>2E-3</v>
      </c>
      <c r="F41" s="70" t="str">
        <f t="shared" si="6"/>
        <v>m</v>
      </c>
      <c r="G41" s="143">
        <f>Unccalc1!G41</f>
        <v>2</v>
      </c>
      <c r="H41" s="136">
        <f>Unccalc1!H41</f>
        <v>1</v>
      </c>
      <c r="I41" s="43">
        <f>IF(G41=1,E41/100*C41,E41)</f>
        <v>2E-3</v>
      </c>
      <c r="J41" s="44">
        <f t="shared" si="3"/>
        <v>1E-3</v>
      </c>
      <c r="K41" s="39" t="s">
        <v>131</v>
      </c>
      <c r="L41" s="43">
        <f>IF(B3=1,C31*C40,(C40-C32)*C31)</f>
        <v>38.860397517537585</v>
      </c>
      <c r="M41" s="45">
        <f>L41*J41</f>
        <v>3.8860397517537587E-2</v>
      </c>
      <c r="N41" s="145">
        <f>Unccalc1!N41</f>
        <v>30</v>
      </c>
      <c r="O41" s="43">
        <f t="shared" si="0"/>
        <v>1.5101304952210414E-3</v>
      </c>
      <c r="P41" s="46">
        <f>SQRT(O41)/B$2*2000000</f>
        <v>0.22544890708117449</v>
      </c>
    </row>
    <row r="42" spans="1:16" ht="18.75" customHeight="1" x14ac:dyDescent="0.35">
      <c r="A42" s="39" t="s">
        <v>46</v>
      </c>
      <c r="B42" s="49" t="s">
        <v>47</v>
      </c>
      <c r="C42" s="127">
        <f>Unccalc1!C42</f>
        <v>0</v>
      </c>
      <c r="D42" s="50" t="s">
        <v>45</v>
      </c>
      <c r="E42" s="131">
        <f>Unccalc1!E42</f>
        <v>2.0000000000000001E-4</v>
      </c>
      <c r="F42" s="70" t="str">
        <f t="shared" si="6"/>
        <v>m</v>
      </c>
      <c r="G42" s="143">
        <f>Unccalc1!G42</f>
        <v>2</v>
      </c>
      <c r="H42" s="136">
        <f>Unccalc1!H42</f>
        <v>1</v>
      </c>
      <c r="I42" s="43">
        <f t="shared" ref="I42:I45" si="11">IF(G42=1,E42/100*C42,E42)</f>
        <v>2.0000000000000001E-4</v>
      </c>
      <c r="J42" s="44">
        <f t="shared" si="3"/>
        <v>1E-4</v>
      </c>
      <c r="K42" s="39" t="s">
        <v>131</v>
      </c>
      <c r="L42" s="43">
        <f>IF(B3=1,C31*C40,(C40-C32)*C31)</f>
        <v>38.860397517537585</v>
      </c>
      <c r="M42" s="45">
        <f t="shared" ref="M42:M45" si="12">L42*J42</f>
        <v>3.8860397517537586E-3</v>
      </c>
      <c r="N42" s="145">
        <f>Unccalc1!N42</f>
        <v>30</v>
      </c>
      <c r="O42" s="43">
        <f t="shared" si="0"/>
        <v>1.5101304952210414E-5</v>
      </c>
      <c r="P42" s="46">
        <f t="shared" ref="P42:P45" si="13">SQRT(O42)/B$2*2000000</f>
        <v>2.2544890708117445E-2</v>
      </c>
    </row>
    <row r="43" spans="1:16" ht="18.75" customHeight="1" x14ac:dyDescent="0.35">
      <c r="A43" s="39" t="s">
        <v>65</v>
      </c>
      <c r="B43" s="49" t="s">
        <v>66</v>
      </c>
      <c r="C43" s="127">
        <f>Unccalc1!C43</f>
        <v>101325</v>
      </c>
      <c r="D43" s="50" t="s">
        <v>50</v>
      </c>
      <c r="E43" s="131">
        <f>Unccalc1!E43</f>
        <v>10</v>
      </c>
      <c r="F43" s="70" t="str">
        <f t="shared" si="6"/>
        <v>Pa</v>
      </c>
      <c r="G43" s="143">
        <f>Unccalc1!G43</f>
        <v>2</v>
      </c>
      <c r="H43" s="136">
        <f>Unccalc1!H43</f>
        <v>1</v>
      </c>
      <c r="I43" s="43">
        <f t="shared" si="11"/>
        <v>10</v>
      </c>
      <c r="J43" s="44">
        <f>IF(B3=3,IF(H43=1,I43/2,I43/SQRT(3)),0)</f>
        <v>0</v>
      </c>
      <c r="K43" s="39">
        <v>1</v>
      </c>
      <c r="L43" s="43">
        <v>1</v>
      </c>
      <c r="M43" s="45">
        <f t="shared" si="12"/>
        <v>0</v>
      </c>
      <c r="N43" s="145">
        <f>Unccalc1!N43</f>
        <v>30</v>
      </c>
      <c r="O43" s="43">
        <f t="shared" si="0"/>
        <v>0</v>
      </c>
      <c r="P43" s="46">
        <f t="shared" si="13"/>
        <v>0</v>
      </c>
    </row>
    <row r="44" spans="1:16" ht="18.75" customHeight="1" x14ac:dyDescent="0.35">
      <c r="A44" s="39" t="s">
        <v>48</v>
      </c>
      <c r="B44" s="49" t="s">
        <v>49</v>
      </c>
      <c r="C44" s="127">
        <f>Unccalc1!C44</f>
        <v>5</v>
      </c>
      <c r="D44" s="50" t="s">
        <v>50</v>
      </c>
      <c r="E44" s="131">
        <f>Unccalc1!E44</f>
        <v>10</v>
      </c>
      <c r="F44" s="70" t="str">
        <f t="shared" si="6"/>
        <v>%</v>
      </c>
      <c r="G44" s="143">
        <f>Unccalc1!G44</f>
        <v>1</v>
      </c>
      <c r="H44" s="136">
        <f>Unccalc1!H44</f>
        <v>1</v>
      </c>
      <c r="I44" s="43">
        <f t="shared" si="11"/>
        <v>0.5</v>
      </c>
      <c r="J44" s="44">
        <f>IF(B4&lt;&gt;1,0,IF(B3=1,IF(H44=1,I44/2,I44/SQRT(3)),0))</f>
        <v>0.25</v>
      </c>
      <c r="K44" s="39">
        <v>1</v>
      </c>
      <c r="L44" s="43">
        <v>1</v>
      </c>
      <c r="M44" s="45">
        <f t="shared" si="12"/>
        <v>0.25</v>
      </c>
      <c r="N44" s="145">
        <f>Unccalc1!N44</f>
        <v>30</v>
      </c>
      <c r="O44" s="43">
        <f t="shared" si="0"/>
        <v>6.25E-2</v>
      </c>
      <c r="P44" s="46">
        <f t="shared" si="13"/>
        <v>1.450377</v>
      </c>
    </row>
    <row r="45" spans="1:16" ht="18.75" customHeight="1" thickBot="1" x14ac:dyDescent="0.4">
      <c r="A45" s="71" t="s">
        <v>110</v>
      </c>
      <c r="B45" s="79" t="s">
        <v>103</v>
      </c>
      <c r="C45" s="139">
        <f>B2</f>
        <v>344737.95433876844</v>
      </c>
      <c r="D45" s="73" t="s">
        <v>50</v>
      </c>
      <c r="E45" s="132">
        <f>Unccalc1!E45</f>
        <v>0</v>
      </c>
      <c r="F45" s="80" t="str">
        <f t="shared" si="6"/>
        <v>Pa</v>
      </c>
      <c r="G45" s="151">
        <f>Unccalc1!G45</f>
        <v>2</v>
      </c>
      <c r="H45" s="152">
        <f>Unccalc1!H45</f>
        <v>1</v>
      </c>
      <c r="I45" s="43">
        <f t="shared" si="11"/>
        <v>0</v>
      </c>
      <c r="J45" s="81">
        <f t="shared" si="3"/>
        <v>0</v>
      </c>
      <c r="K45" s="71">
        <v>1</v>
      </c>
      <c r="L45" s="74">
        <v>1</v>
      </c>
      <c r="M45" s="75">
        <f t="shared" si="12"/>
        <v>0</v>
      </c>
      <c r="N45" s="146">
        <f>Unccalc1!N45</f>
        <v>30</v>
      </c>
      <c r="O45" s="74">
        <f t="shared" si="0"/>
        <v>0</v>
      </c>
      <c r="P45" s="76">
        <f t="shared" si="13"/>
        <v>0</v>
      </c>
    </row>
    <row r="46" spans="1:16" x14ac:dyDescent="0.35">
      <c r="A46" s="82"/>
      <c r="B46" s="82"/>
      <c r="C46" s="82"/>
      <c r="D46" s="82"/>
      <c r="E46" s="82"/>
      <c r="F46" s="82"/>
      <c r="G46" s="82"/>
      <c r="H46" s="82"/>
      <c r="I46" s="4"/>
      <c r="J46" s="83"/>
      <c r="K46" s="84"/>
      <c r="L46" s="85" t="s">
        <v>51</v>
      </c>
      <c r="M46" s="86">
        <f>SUM(O15:O45)</f>
        <v>4.0335775148988251</v>
      </c>
      <c r="N46" s="87" t="s">
        <v>50</v>
      </c>
      <c r="O46" s="6"/>
      <c r="P46" s="88" t="s">
        <v>100</v>
      </c>
    </row>
    <row r="47" spans="1:16" x14ac:dyDescent="0.35">
      <c r="J47" s="89"/>
      <c r="K47" s="90"/>
      <c r="L47" s="89" t="s">
        <v>52</v>
      </c>
      <c r="M47" s="91">
        <f>SQRT(M46)</f>
        <v>2.0083768358798668</v>
      </c>
      <c r="N47" s="92" t="s">
        <v>50</v>
      </c>
      <c r="O47" s="13" t="s">
        <v>99</v>
      </c>
      <c r="P47" s="93">
        <f>TINV((100-B10)/100,VALUE(P48))</f>
        <v>1.9876082815890745</v>
      </c>
    </row>
    <row r="48" spans="1:16" ht="15" thickBot="1" x14ac:dyDescent="0.4">
      <c r="J48" s="89"/>
      <c r="K48" s="90"/>
      <c r="L48" s="94" t="str">
        <f>"Expanded Uncertainty ("&amp;B10&amp;"%):"</f>
        <v>Expanded Uncertainty (95%):</v>
      </c>
      <c r="M48" s="95">
        <f>M47*P47</f>
        <v>3.9918664315464847</v>
      </c>
      <c r="N48" s="92" t="s">
        <v>50</v>
      </c>
      <c r="O48" s="20" t="s">
        <v>56</v>
      </c>
      <c r="P48" s="96">
        <f>M47^4/(M15^4/N15+M16^4/N16+M17^4/N17+M18^4/N18+M19^4/N19+M20^4/N20+M22^4/N22+M24^4/N24+M26^4/N26+M27^4/N27+M28^4/N28+M31^4/N31+M32^4/N32+M33^4/N33+M34^4/N34+M35^4/N35+M36^4/N36+M38^4/N38+M40^4/N40+M41^4/N41+M42^4/N42+M43^4/N43+M44^4/N44+M45^4/N45+M21^4/N21+M23^4/N23+M29^4/N29+M30^4/N30+M37^4/N37)</f>
        <v>87.947478061049395</v>
      </c>
    </row>
    <row r="49" spans="1:14" ht="15" thickBot="1" x14ac:dyDescent="0.4">
      <c r="K49" s="97"/>
      <c r="L49" s="98" t="str">
        <f>"Expanded Uncertainty ("&amp;B10&amp;"%):"</f>
        <v>Expanded Uncertainty (95%):</v>
      </c>
      <c r="M49" s="99">
        <f>M47*P47/B2*1000000</f>
        <v>11.579422518774193</v>
      </c>
      <c r="N49" s="100" t="s">
        <v>73</v>
      </c>
    </row>
    <row r="56" spans="1:14" x14ac:dyDescent="0.35">
      <c r="A56" s="101"/>
    </row>
    <row r="57" spans="1:14" x14ac:dyDescent="0.35">
      <c r="A57" s="101"/>
    </row>
    <row r="58" spans="1:14" x14ac:dyDescent="0.35">
      <c r="A58" s="101"/>
    </row>
    <row r="59" spans="1:14" x14ac:dyDescent="0.35">
      <c r="A59" s="101"/>
    </row>
    <row r="60" spans="1:14" x14ac:dyDescent="0.35">
      <c r="A60" s="101"/>
    </row>
  </sheetData>
  <sheetProtection password="C6CA" sheet="1" objects="1" scenarios="1" selectLockedCells="1"/>
  <mergeCells count="9">
    <mergeCell ref="A39:D39"/>
    <mergeCell ref="A1:I1"/>
    <mergeCell ref="A11:D11"/>
    <mergeCell ref="E11:J11"/>
    <mergeCell ref="K11:P11"/>
    <mergeCell ref="E12:F12"/>
    <mergeCell ref="E13:F13"/>
    <mergeCell ref="A14:D14"/>
    <mergeCell ref="A25:D25"/>
  </mergeCells>
  <conditionalFormatting sqref="A32:P35">
    <cfRule type="expression" dxfId="17" priority="9">
      <formula>$B$3=1</formula>
    </cfRule>
  </conditionalFormatting>
  <conditionalFormatting sqref="A36:P36">
    <cfRule type="expression" dxfId="16" priority="7">
      <formula>$B$3=3</formula>
    </cfRule>
    <cfRule type="expression" dxfId="15" priority="8">
      <formula>$B$3=2</formula>
    </cfRule>
  </conditionalFormatting>
  <conditionalFormatting sqref="A37:P37">
    <cfRule type="expression" dxfId="14" priority="5">
      <formula>$B$3=1</formula>
    </cfRule>
    <cfRule type="expression" dxfId="13" priority="6">
      <formula>$B$4=1</formula>
    </cfRule>
  </conditionalFormatting>
  <conditionalFormatting sqref="A33:P35">
    <cfRule type="expression" dxfId="12" priority="4">
      <formula>$E$32&lt;&gt;0</formula>
    </cfRule>
  </conditionalFormatting>
  <conditionalFormatting sqref="A43:P43">
    <cfRule type="expression" dxfId="11" priority="3">
      <formula>$B$3&lt;&gt;3</formula>
    </cfRule>
  </conditionalFormatting>
  <conditionalFormatting sqref="A44:P44">
    <cfRule type="expression" dxfId="10" priority="1">
      <formula>$B$4&lt;&gt;1</formula>
    </cfRule>
    <cfRule type="expression" dxfId="9" priority="2">
      <formula>$B$3&lt;&gt;1</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0"/>
  <sheetViews>
    <sheetView showGridLines="0" zoomScale="90" zoomScaleNormal="90" workbookViewId="0">
      <selection activeCell="B2" sqref="B2"/>
    </sheetView>
  </sheetViews>
  <sheetFormatPr defaultColWidth="9.1796875" defaultRowHeight="14.5" x14ac:dyDescent="0.35"/>
  <cols>
    <col min="1" max="1" width="26.81640625" style="1" customWidth="1"/>
    <col min="2" max="2" width="9.54296875" style="1" bestFit="1" customWidth="1"/>
    <col min="3" max="3" width="13" style="1" customWidth="1"/>
    <col min="4" max="4" width="9.1796875" style="1"/>
    <col min="5" max="5" width="17.7265625" style="1" customWidth="1"/>
    <col min="6" max="6" width="7.453125" style="1" customWidth="1"/>
    <col min="7" max="7" width="15.54296875" style="1" customWidth="1"/>
    <col min="8" max="8" width="15" style="1" customWidth="1"/>
    <col min="9" max="9" width="15.26953125" style="1" customWidth="1"/>
    <col min="10" max="10" width="15.81640625" style="1" customWidth="1"/>
    <col min="11" max="11" width="19.81640625" style="1" customWidth="1"/>
    <col min="12" max="12" width="15.1796875" style="1" customWidth="1"/>
    <col min="13" max="13" width="12.81640625" style="1" customWidth="1"/>
    <col min="14" max="14" width="9.1796875" style="102"/>
    <col min="15" max="15" width="9.1796875" style="1"/>
    <col min="16" max="16" width="11.54296875" style="1" customWidth="1"/>
    <col min="17" max="16384" width="9.1796875" style="1"/>
  </cols>
  <sheetData>
    <row r="1" spans="1:16" ht="18.75" customHeight="1" thickBot="1" x14ac:dyDescent="0.4">
      <c r="A1" s="268" t="s">
        <v>55</v>
      </c>
      <c r="B1" s="269"/>
      <c r="C1" s="269"/>
      <c r="D1" s="269"/>
      <c r="E1" s="269"/>
      <c r="F1" s="269"/>
      <c r="G1" s="269"/>
      <c r="H1" s="269"/>
      <c r="I1" s="270"/>
      <c r="J1"/>
      <c r="K1"/>
      <c r="L1"/>
      <c r="M1"/>
      <c r="N1"/>
      <c r="O1"/>
      <c r="P1"/>
    </row>
    <row r="2" spans="1:16" ht="18.75" customHeight="1" x14ac:dyDescent="0.35">
      <c r="A2" s="2" t="s">
        <v>53</v>
      </c>
      <c r="B2" s="119">
        <f>Unccalc1!I2</f>
        <v>7000</v>
      </c>
      <c r="C2" s="3" t="s">
        <v>50</v>
      </c>
      <c r="D2" s="4">
        <f>B2*0.0001450377</f>
        <v>1.0152639000000001</v>
      </c>
      <c r="E2" s="3" t="s">
        <v>72</v>
      </c>
      <c r="F2" s="3" t="s">
        <v>128</v>
      </c>
      <c r="G2" s="3">
        <f>IF(B3=1,B2,B2+C33)</f>
        <v>7000</v>
      </c>
      <c r="H2" s="3"/>
      <c r="I2" s="5"/>
      <c r="J2"/>
      <c r="K2"/>
      <c r="L2"/>
      <c r="M2"/>
      <c r="N2"/>
      <c r="O2"/>
      <c r="P2"/>
    </row>
    <row r="3" spans="1:16" ht="18.75" customHeight="1" x14ac:dyDescent="0.35">
      <c r="A3" s="9" t="s">
        <v>63</v>
      </c>
      <c r="B3" s="120">
        <f>Unccalc1!B3</f>
        <v>1</v>
      </c>
      <c r="C3" s="10" t="s">
        <v>64</v>
      </c>
      <c r="D3" s="11"/>
      <c r="E3" s="11"/>
      <c r="F3" s="11"/>
      <c r="G3" s="11"/>
      <c r="H3" s="10"/>
      <c r="I3" s="12"/>
      <c r="J3"/>
      <c r="K3"/>
      <c r="L3"/>
      <c r="M3"/>
      <c r="N3"/>
      <c r="O3"/>
      <c r="P3"/>
    </row>
    <row r="4" spans="1:16" ht="18.75" customHeight="1" x14ac:dyDescent="0.35">
      <c r="A4" s="15" t="str">
        <f>"Media :"&amp;IF(B4=1,"gas",IF(B4=2,"oil",IF(B4=3,"water")))</f>
        <v>Media :gas</v>
      </c>
      <c r="B4" s="121">
        <f>Unccalc1!B4</f>
        <v>1</v>
      </c>
      <c r="C4" s="13" t="s">
        <v>117</v>
      </c>
      <c r="D4" s="13"/>
      <c r="E4" s="13"/>
      <c r="F4" s="13"/>
      <c r="G4" s="13" t="s">
        <v>122</v>
      </c>
      <c r="H4" s="16"/>
      <c r="I4" s="14"/>
      <c r="J4"/>
      <c r="K4"/>
      <c r="L4"/>
      <c r="M4"/>
      <c r="N4"/>
      <c r="O4"/>
      <c r="P4"/>
    </row>
    <row r="5" spans="1:16" ht="18.75" customHeight="1" x14ac:dyDescent="0.35">
      <c r="A5" s="15" t="s">
        <v>95</v>
      </c>
      <c r="B5" s="117">
        <f>C31/C15</f>
        <v>116739.24590445729</v>
      </c>
      <c r="C5" s="13" t="s">
        <v>96</v>
      </c>
      <c r="D5" s="13">
        <f>B5*0.0001450377</f>
        <v>16.931591725716906</v>
      </c>
      <c r="E5" s="13" t="s">
        <v>97</v>
      </c>
      <c r="F5" s="13"/>
      <c r="G5" s="13" t="s">
        <v>123</v>
      </c>
      <c r="H5" s="17"/>
      <c r="I5" s="14"/>
      <c r="J5"/>
      <c r="K5"/>
      <c r="L5"/>
      <c r="M5"/>
      <c r="N5"/>
      <c r="O5"/>
      <c r="P5"/>
    </row>
    <row r="6" spans="1:16" ht="18.75" customHeight="1" x14ac:dyDescent="0.35">
      <c r="A6" s="15" t="s">
        <v>118</v>
      </c>
      <c r="B6" s="122">
        <f>Unccalc1!B6</f>
        <v>916</v>
      </c>
      <c r="C6" s="13" t="s">
        <v>119</v>
      </c>
      <c r="D6" s="13"/>
      <c r="E6" s="13"/>
      <c r="F6" s="13"/>
      <c r="G6" s="13" t="s">
        <v>124</v>
      </c>
      <c r="H6" s="13" t="s">
        <v>125</v>
      </c>
      <c r="I6" s="14"/>
      <c r="J6"/>
      <c r="K6"/>
      <c r="L6"/>
      <c r="M6"/>
      <c r="N6"/>
      <c r="O6"/>
      <c r="P6"/>
    </row>
    <row r="7" spans="1:16" ht="18.75" customHeight="1" x14ac:dyDescent="0.35">
      <c r="A7" s="15" t="s">
        <v>111</v>
      </c>
      <c r="B7" s="122">
        <f>Unccalc1!B7</f>
        <v>0</v>
      </c>
      <c r="C7" s="13" t="s">
        <v>45</v>
      </c>
      <c r="D7" s="18">
        <f>B7/0.254</f>
        <v>0</v>
      </c>
      <c r="E7" s="13" t="s">
        <v>112</v>
      </c>
      <c r="F7" s="13"/>
      <c r="G7" s="13"/>
      <c r="H7" s="13"/>
      <c r="I7" s="14"/>
      <c r="J7"/>
      <c r="K7"/>
      <c r="L7"/>
      <c r="M7"/>
      <c r="N7"/>
      <c r="O7"/>
      <c r="P7"/>
    </row>
    <row r="8" spans="1:16" ht="18.75" customHeight="1" x14ac:dyDescent="0.35">
      <c r="A8" s="15" t="s">
        <v>79</v>
      </c>
      <c r="B8" s="122">
        <f>Unccalc1!B8</f>
        <v>23</v>
      </c>
      <c r="C8" s="13" t="s">
        <v>91</v>
      </c>
      <c r="D8" s="13"/>
      <c r="E8" s="13"/>
      <c r="F8" s="13"/>
      <c r="G8" s="13"/>
      <c r="H8" s="13"/>
      <c r="I8" s="14"/>
      <c r="J8"/>
      <c r="K8"/>
      <c r="L8"/>
      <c r="M8"/>
      <c r="N8"/>
      <c r="O8"/>
      <c r="P8"/>
    </row>
    <row r="9" spans="1:16" ht="18.75" customHeight="1" x14ac:dyDescent="0.35">
      <c r="A9" s="15" t="s">
        <v>80</v>
      </c>
      <c r="B9" s="122">
        <f>Unccalc1!B9</f>
        <v>3</v>
      </c>
      <c r="C9" s="13" t="s">
        <v>108</v>
      </c>
      <c r="D9" s="13"/>
      <c r="E9" s="13"/>
      <c r="F9" s="13"/>
      <c r="G9" s="13"/>
      <c r="H9" s="13"/>
      <c r="I9" s="14"/>
      <c r="J9"/>
      <c r="K9"/>
      <c r="L9"/>
      <c r="M9"/>
      <c r="N9"/>
      <c r="O9"/>
      <c r="P9"/>
    </row>
    <row r="10" spans="1:16" ht="18.75" customHeight="1" thickBot="1" x14ac:dyDescent="0.4">
      <c r="A10" s="19" t="s">
        <v>81</v>
      </c>
      <c r="B10" s="167">
        <f>Unccalc1!B10</f>
        <v>95</v>
      </c>
      <c r="C10" s="20" t="s">
        <v>82</v>
      </c>
      <c r="D10" s="20"/>
      <c r="E10" s="20"/>
      <c r="F10" s="20"/>
      <c r="G10" s="20"/>
      <c r="H10" s="20"/>
      <c r="I10" s="21"/>
      <c r="J10"/>
      <c r="K10"/>
      <c r="L10"/>
      <c r="M10"/>
      <c r="N10"/>
      <c r="O10"/>
      <c r="P10"/>
    </row>
    <row r="11" spans="1:16" ht="18.75" customHeight="1" thickBot="1" x14ac:dyDescent="0.4">
      <c r="A11" s="275" t="s">
        <v>0</v>
      </c>
      <c r="B11" s="276"/>
      <c r="C11" s="276"/>
      <c r="D11" s="281"/>
      <c r="E11" s="275" t="s">
        <v>68</v>
      </c>
      <c r="F11" s="276"/>
      <c r="G11" s="276"/>
      <c r="H11" s="276"/>
      <c r="I11" s="276"/>
      <c r="J11" s="270"/>
      <c r="K11" s="265" t="s">
        <v>1</v>
      </c>
      <c r="L11" s="266"/>
      <c r="M11" s="266"/>
      <c r="N11" s="266"/>
      <c r="O11" s="266"/>
      <c r="P11" s="267"/>
    </row>
    <row r="12" spans="1:16" x14ac:dyDescent="0.35">
      <c r="A12" s="23" t="s">
        <v>67</v>
      </c>
      <c r="B12" s="24" t="s">
        <v>2</v>
      </c>
      <c r="C12" s="24" t="s">
        <v>3</v>
      </c>
      <c r="D12" s="25"/>
      <c r="E12" s="277" t="s">
        <v>105</v>
      </c>
      <c r="F12" s="278"/>
      <c r="G12" s="26" t="s">
        <v>104</v>
      </c>
      <c r="H12" s="26" t="s">
        <v>101</v>
      </c>
      <c r="I12" s="24" t="s">
        <v>107</v>
      </c>
      <c r="J12" s="25" t="s">
        <v>4</v>
      </c>
      <c r="K12" s="23" t="s">
        <v>5</v>
      </c>
      <c r="L12" s="24" t="s">
        <v>5</v>
      </c>
      <c r="M12" s="24" t="s">
        <v>6</v>
      </c>
      <c r="N12" s="27" t="s">
        <v>56</v>
      </c>
      <c r="O12" s="24" t="s">
        <v>7</v>
      </c>
      <c r="P12" s="25" t="s">
        <v>54</v>
      </c>
    </row>
    <row r="13" spans="1:16" ht="26.5" thickBot="1" x14ac:dyDescent="0.4">
      <c r="A13" s="23" t="s">
        <v>8</v>
      </c>
      <c r="B13" s="24" t="s">
        <v>9</v>
      </c>
      <c r="C13" s="24" t="s">
        <v>10</v>
      </c>
      <c r="D13" s="25" t="s">
        <v>11</v>
      </c>
      <c r="E13" s="279" t="s">
        <v>120</v>
      </c>
      <c r="F13" s="280"/>
      <c r="G13" s="28" t="s">
        <v>106</v>
      </c>
      <c r="H13" s="28" t="s">
        <v>102</v>
      </c>
      <c r="I13" s="24"/>
      <c r="J13" s="25" t="s">
        <v>12</v>
      </c>
      <c r="K13" s="23" t="s">
        <v>13</v>
      </c>
      <c r="L13" s="24" t="s">
        <v>10</v>
      </c>
      <c r="M13" s="29" t="s">
        <v>85</v>
      </c>
      <c r="N13" s="30" t="s">
        <v>57</v>
      </c>
      <c r="O13" s="29" t="s">
        <v>84</v>
      </c>
      <c r="P13" s="25" t="s">
        <v>74</v>
      </c>
    </row>
    <row r="14" spans="1:16" ht="18.75" customHeight="1" thickBot="1" x14ac:dyDescent="0.4">
      <c r="A14" s="268" t="s">
        <v>14</v>
      </c>
      <c r="B14" s="269"/>
      <c r="C14" s="269"/>
      <c r="D14" s="270"/>
      <c r="E14" s="103"/>
      <c r="F14" s="104"/>
      <c r="G14" s="104"/>
      <c r="H14" s="105"/>
      <c r="I14" s="105"/>
      <c r="J14" s="106"/>
      <c r="K14" s="107"/>
      <c r="L14" s="108"/>
      <c r="M14" s="108"/>
      <c r="N14" s="109"/>
      <c r="O14" s="108"/>
      <c r="P14" s="110"/>
    </row>
    <row r="15" spans="1:16" ht="18.75" customHeight="1" x14ac:dyDescent="0.35">
      <c r="A15" s="31" t="s">
        <v>15</v>
      </c>
      <c r="B15" s="32" t="s">
        <v>16</v>
      </c>
      <c r="C15" s="126">
        <f>Unccalc1!C15</f>
        <v>8.4004740000000002E-5</v>
      </c>
      <c r="D15" s="33" t="s">
        <v>17</v>
      </c>
      <c r="E15" s="129">
        <f>Unccalc1!E15</f>
        <v>6.9999999999999996E-10</v>
      </c>
      <c r="F15" s="34" t="str">
        <f>IF(G15=1,"%",IF(G15=2,D15,"ERR"))</f>
        <v>m2</v>
      </c>
      <c r="G15" s="133">
        <f>Unccalc1!G15</f>
        <v>2</v>
      </c>
      <c r="H15" s="134">
        <f>Unccalc1!H15</f>
        <v>1</v>
      </c>
      <c r="I15" s="35">
        <f>IF(G15=1,E15/100*C15,E15)</f>
        <v>6.9999999999999996E-10</v>
      </c>
      <c r="J15" s="36">
        <f>IF(H15=1,I15/2,I15/SQRT(3))</f>
        <v>3.4999999999999998E-10</v>
      </c>
      <c r="K15" s="31" t="s">
        <v>87</v>
      </c>
      <c r="L15" s="35">
        <f>1/C15*B$2</f>
        <v>83328631.217714623</v>
      </c>
      <c r="M15" s="37">
        <f>L15*J15</f>
        <v>2.9165020926200116E-2</v>
      </c>
      <c r="N15" s="148">
        <f>Unccalc1!N15</f>
        <v>30</v>
      </c>
      <c r="O15" s="35">
        <f>M15^2</f>
        <v>8.5059844562569069E-4</v>
      </c>
      <c r="P15" s="38">
        <f>SQRT(O15)/B$2*2000000</f>
        <v>8.3328631217714619</v>
      </c>
    </row>
    <row r="16" spans="1:16" ht="18.75" customHeight="1" x14ac:dyDescent="0.35">
      <c r="A16" s="39" t="s">
        <v>18</v>
      </c>
      <c r="B16" s="40" t="s">
        <v>19</v>
      </c>
      <c r="C16" s="127">
        <f>Unccalc1!C16</f>
        <v>9.0999999999999993E-6</v>
      </c>
      <c r="D16" s="41" t="s">
        <v>61</v>
      </c>
      <c r="E16" s="130">
        <f>Unccalc1!E16</f>
        <v>5.0000000000000008E-7</v>
      </c>
      <c r="F16" s="42" t="str">
        <f>IF(G16=1,"%",IF(G16=2,D16,"ERR"))</f>
        <v>°C-1</v>
      </c>
      <c r="G16" s="135">
        <f>Unccalc1!G16</f>
        <v>2</v>
      </c>
      <c r="H16" s="136">
        <f>Unccalc1!H16</f>
        <v>2</v>
      </c>
      <c r="I16" s="43">
        <f>IF(G16=1,E16/100*C16,E16)</f>
        <v>5.0000000000000008E-7</v>
      </c>
      <c r="J16" s="44">
        <f>IF(H16=1,I16/2,I16/SQRT(3))</f>
        <v>2.8867513459481294E-7</v>
      </c>
      <c r="K16" s="39" t="s">
        <v>78</v>
      </c>
      <c r="L16" s="43">
        <f>(C18-B8)*B2</f>
        <v>21000</v>
      </c>
      <c r="M16" s="45">
        <f>L16*J16</f>
        <v>6.062177826491072E-3</v>
      </c>
      <c r="N16" s="145">
        <f>Unccalc1!N16</f>
        <v>30</v>
      </c>
      <c r="O16" s="43">
        <f t="shared" ref="O16:O45" si="0">M16^2</f>
        <v>3.6750000000000019E-5</v>
      </c>
      <c r="P16" s="46">
        <f>SQRT(O16)/B$2*2000000</f>
        <v>1.7320508075688779</v>
      </c>
    </row>
    <row r="17" spans="1:16" ht="18.75" customHeight="1" x14ac:dyDescent="0.35">
      <c r="A17" s="39" t="s">
        <v>20</v>
      </c>
      <c r="B17" s="40" t="s">
        <v>21</v>
      </c>
      <c r="C17" s="127">
        <f>Unccalc1!C17</f>
        <v>0</v>
      </c>
      <c r="D17" s="41" t="s">
        <v>61</v>
      </c>
      <c r="E17" s="130">
        <f>Unccalc1!E17</f>
        <v>2.2749999999999999E-7</v>
      </c>
      <c r="F17" s="42" t="str">
        <f t="shared" ref="F17:F24" si="1">IF(G17=1,"%",IF(G17=2,D17,"ERR"))</f>
        <v>°C-1</v>
      </c>
      <c r="G17" s="135">
        <f>Unccalc1!G17</f>
        <v>2</v>
      </c>
      <c r="H17" s="136">
        <f>Unccalc1!H17</f>
        <v>2</v>
      </c>
      <c r="I17" s="43">
        <f t="shared" ref="I17:I24" si="2">IF(G17=1,E17/100*C17,E17)</f>
        <v>2.2749999999999999E-7</v>
      </c>
      <c r="J17" s="44">
        <f t="shared" ref="J17:J45" si="3">IF(H17=1,I17/2,I17/SQRT(3))</f>
        <v>1.3134718624063987E-7</v>
      </c>
      <c r="K17" s="39" t="s">
        <v>78</v>
      </c>
      <c r="L17" s="43">
        <f>(C18-B8)*B2</f>
        <v>21000</v>
      </c>
      <c r="M17" s="45">
        <f t="shared" ref="M17:M24" si="4">L17*J17</f>
        <v>2.7582909110534372E-3</v>
      </c>
      <c r="N17" s="145">
        <f>Unccalc1!N17</f>
        <v>30</v>
      </c>
      <c r="O17" s="43">
        <f t="shared" si="0"/>
        <v>7.6081687500000006E-6</v>
      </c>
      <c r="P17" s="46">
        <f t="shared" ref="P17:P24" si="5">SQRT(O17)/B$2*2000000</f>
        <v>0.78808311744383919</v>
      </c>
    </row>
    <row r="18" spans="1:16" ht="18.75" customHeight="1" x14ac:dyDescent="0.35">
      <c r="A18" s="39" t="s">
        <v>58</v>
      </c>
      <c r="B18" s="47" t="s">
        <v>59</v>
      </c>
      <c r="C18" s="127">
        <f>Unccalc1!C18</f>
        <v>26</v>
      </c>
      <c r="D18" s="48" t="s">
        <v>60</v>
      </c>
      <c r="E18" s="130">
        <f>Unccalc1!E18</f>
        <v>0.14099999999999999</v>
      </c>
      <c r="F18" s="42" t="str">
        <f t="shared" si="1"/>
        <v>°C</v>
      </c>
      <c r="G18" s="135">
        <f>Unccalc1!G18</f>
        <v>2</v>
      </c>
      <c r="H18" s="136">
        <f>Unccalc1!H18</f>
        <v>2</v>
      </c>
      <c r="I18" s="43">
        <f t="shared" si="2"/>
        <v>0.14099999999999999</v>
      </c>
      <c r="J18" s="44">
        <f t="shared" si="3"/>
        <v>8.1406387955737236E-2</v>
      </c>
      <c r="K18" s="39" t="s">
        <v>83</v>
      </c>
      <c r="L18" s="43">
        <f>(C16+C17)*B2</f>
        <v>6.3699999999999993E-2</v>
      </c>
      <c r="M18" s="45">
        <f t="shared" si="4"/>
        <v>5.1855869127804613E-3</v>
      </c>
      <c r="N18" s="145">
        <f>Unccalc1!N18</f>
        <v>30</v>
      </c>
      <c r="O18" s="43">
        <f t="shared" si="0"/>
        <v>2.6890311629999995E-5</v>
      </c>
      <c r="P18" s="46">
        <f t="shared" si="5"/>
        <v>1.4815962607944175</v>
      </c>
    </row>
    <row r="19" spans="1:16" ht="18.75" customHeight="1" x14ac:dyDescent="0.35">
      <c r="A19" s="39" t="s">
        <v>22</v>
      </c>
      <c r="B19" s="49" t="s">
        <v>98</v>
      </c>
      <c r="C19" s="127">
        <f>Unccalc1!C19</f>
        <v>0</v>
      </c>
      <c r="D19" s="50" t="s">
        <v>175</v>
      </c>
      <c r="E19" s="131">
        <f>Unccalc1!E19</f>
        <v>0</v>
      </c>
      <c r="F19" s="42" t="str">
        <f t="shared" si="1"/>
        <v>MPa-1</v>
      </c>
      <c r="G19" s="135">
        <f>Unccalc1!G19</f>
        <v>2</v>
      </c>
      <c r="H19" s="136">
        <f>Unccalc1!H19</f>
        <v>1</v>
      </c>
      <c r="I19" s="43">
        <f t="shared" si="2"/>
        <v>0</v>
      </c>
      <c r="J19" s="44">
        <f t="shared" si="3"/>
        <v>0</v>
      </c>
      <c r="K19" s="39" t="s">
        <v>172</v>
      </c>
      <c r="L19" s="43">
        <f>B2^2</f>
        <v>49000000</v>
      </c>
      <c r="M19" s="45">
        <f>L19*(J19/1000000)</f>
        <v>0</v>
      </c>
      <c r="N19" s="145">
        <f>Unccalc1!N19</f>
        <v>30</v>
      </c>
      <c r="O19" s="43">
        <f t="shared" si="0"/>
        <v>0</v>
      </c>
      <c r="P19" s="46">
        <f t="shared" si="5"/>
        <v>0</v>
      </c>
    </row>
    <row r="20" spans="1:16" ht="18.75" customHeight="1" x14ac:dyDescent="0.35">
      <c r="A20" s="39" t="s">
        <v>23</v>
      </c>
      <c r="B20" s="49" t="s">
        <v>24</v>
      </c>
      <c r="C20" s="127">
        <f>Unccalc1!C20</f>
        <v>0</v>
      </c>
      <c r="D20" s="50" t="s">
        <v>176</v>
      </c>
      <c r="E20" s="131">
        <f>Unccalc1!E20</f>
        <v>0</v>
      </c>
      <c r="F20" s="42" t="str">
        <f t="shared" si="1"/>
        <v>%</v>
      </c>
      <c r="G20" s="135">
        <f>Unccalc1!G20</f>
        <v>1</v>
      </c>
      <c r="H20" s="136">
        <f>Unccalc1!H20</f>
        <v>1</v>
      </c>
      <c r="I20" s="43">
        <f t="shared" si="2"/>
        <v>0</v>
      </c>
      <c r="J20" s="44">
        <f t="shared" si="3"/>
        <v>0</v>
      </c>
      <c r="K20" s="39" t="s">
        <v>173</v>
      </c>
      <c r="L20" s="43">
        <f>B2^3</f>
        <v>343000000000</v>
      </c>
      <c r="M20" s="45">
        <f>L20*(J20/1000000^2)</f>
        <v>0</v>
      </c>
      <c r="N20" s="145">
        <f>Unccalc1!N20</f>
        <v>30</v>
      </c>
      <c r="O20" s="43">
        <f t="shared" si="0"/>
        <v>0</v>
      </c>
      <c r="P20" s="46">
        <f t="shared" si="5"/>
        <v>0</v>
      </c>
    </row>
    <row r="21" spans="1:16" ht="18.75" customHeight="1" x14ac:dyDescent="0.35">
      <c r="A21" s="39" t="s">
        <v>136</v>
      </c>
      <c r="B21" s="47" t="s">
        <v>103</v>
      </c>
      <c r="C21" s="127">
        <f>B2</f>
        <v>7000</v>
      </c>
      <c r="D21" s="50" t="s">
        <v>50</v>
      </c>
      <c r="E21" s="131">
        <f>Unccalc1!E21</f>
        <v>2.0000000000000001E-4</v>
      </c>
      <c r="F21" s="42" t="str">
        <f t="shared" si="1"/>
        <v>%</v>
      </c>
      <c r="G21" s="135">
        <f>Unccalc1!G21</f>
        <v>1</v>
      </c>
      <c r="H21" s="136">
        <f>Unccalc1!H21</f>
        <v>1</v>
      </c>
      <c r="I21" s="43">
        <f t="shared" si="2"/>
        <v>1.3999999999999999E-2</v>
      </c>
      <c r="J21" s="44">
        <f t="shared" si="3"/>
        <v>6.9999999999999993E-3</v>
      </c>
      <c r="K21" s="39">
        <v>1</v>
      </c>
      <c r="L21" s="43">
        <v>1</v>
      </c>
      <c r="M21" s="45">
        <f t="shared" si="4"/>
        <v>6.9999999999999993E-3</v>
      </c>
      <c r="N21" s="145">
        <f>Unccalc1!N21</f>
        <v>30</v>
      </c>
      <c r="O21" s="43">
        <f t="shared" si="0"/>
        <v>4.8999999999999992E-5</v>
      </c>
      <c r="P21" s="46">
        <f t="shared" si="5"/>
        <v>2</v>
      </c>
    </row>
    <row r="22" spans="1:16" ht="18.75" customHeight="1" x14ac:dyDescent="0.35">
      <c r="A22" s="39" t="s">
        <v>62</v>
      </c>
      <c r="B22" s="47" t="s">
        <v>103</v>
      </c>
      <c r="C22" s="127">
        <f>B2</f>
        <v>7000</v>
      </c>
      <c r="D22" s="50" t="s">
        <v>50</v>
      </c>
      <c r="E22" s="131">
        <f>Unccalc1!E22</f>
        <v>1.5E-5</v>
      </c>
      <c r="F22" s="42" t="str">
        <f t="shared" si="1"/>
        <v>%</v>
      </c>
      <c r="G22" s="135">
        <f>Unccalc1!G22</f>
        <v>1</v>
      </c>
      <c r="H22" s="136">
        <f>Unccalc1!H22</f>
        <v>1</v>
      </c>
      <c r="I22" s="43">
        <f t="shared" si="2"/>
        <v>1.0499999999999999E-3</v>
      </c>
      <c r="J22" s="44">
        <f t="shared" si="3"/>
        <v>5.2499999999999997E-4</v>
      </c>
      <c r="K22" s="39">
        <v>1</v>
      </c>
      <c r="L22" s="43">
        <v>1</v>
      </c>
      <c r="M22" s="45">
        <f t="shared" si="4"/>
        <v>5.2499999999999997E-4</v>
      </c>
      <c r="N22" s="145">
        <f>Unccalc1!N22</f>
        <v>30</v>
      </c>
      <c r="O22" s="43">
        <f t="shared" si="0"/>
        <v>2.7562499999999996E-7</v>
      </c>
      <c r="P22" s="46">
        <f t="shared" si="5"/>
        <v>0.15</v>
      </c>
    </row>
    <row r="23" spans="1:16" ht="18.75" customHeight="1" x14ac:dyDescent="0.35">
      <c r="A23" s="39" t="s">
        <v>135</v>
      </c>
      <c r="B23" s="47" t="s">
        <v>103</v>
      </c>
      <c r="C23" s="127">
        <f>B2</f>
        <v>7000</v>
      </c>
      <c r="D23" s="50" t="s">
        <v>50</v>
      </c>
      <c r="E23" s="131">
        <f>Unccalc1!E23</f>
        <v>1.4999999999999999E-2</v>
      </c>
      <c r="F23" s="42" t="str">
        <f t="shared" si="1"/>
        <v>Pa</v>
      </c>
      <c r="G23" s="135">
        <f>Unccalc1!G23</f>
        <v>2</v>
      </c>
      <c r="H23" s="136">
        <f>Unccalc1!H23</f>
        <v>1</v>
      </c>
      <c r="I23" s="43">
        <f t="shared" si="2"/>
        <v>1.4999999999999999E-2</v>
      </c>
      <c r="J23" s="44">
        <f t="shared" si="3"/>
        <v>7.4999999999999997E-3</v>
      </c>
      <c r="K23" s="39">
        <v>1</v>
      </c>
      <c r="L23" s="43">
        <v>1</v>
      </c>
      <c r="M23" s="45">
        <f t="shared" si="4"/>
        <v>7.4999999999999997E-3</v>
      </c>
      <c r="N23" s="145">
        <f>Unccalc1!N23</f>
        <v>30</v>
      </c>
      <c r="O23" s="43">
        <f t="shared" si="0"/>
        <v>5.6249999999999998E-5</v>
      </c>
      <c r="P23" s="46">
        <f t="shared" si="5"/>
        <v>2.1428571428571428</v>
      </c>
    </row>
    <row r="24" spans="1:16" ht="18.75" customHeight="1" thickBot="1" x14ac:dyDescent="0.4">
      <c r="A24" s="52" t="s">
        <v>25</v>
      </c>
      <c r="B24" s="53" t="s">
        <v>16</v>
      </c>
      <c r="C24" s="128">
        <f>Unccalc1!C24</f>
        <v>8.4004740000000002E-5</v>
      </c>
      <c r="D24" s="54" t="s">
        <v>17</v>
      </c>
      <c r="E24" s="132">
        <f>Unccalc1!E24</f>
        <v>4.4748809999999999E-10</v>
      </c>
      <c r="F24" s="55" t="str">
        <f t="shared" si="1"/>
        <v>m2</v>
      </c>
      <c r="G24" s="137">
        <f>Unccalc1!G24</f>
        <v>2</v>
      </c>
      <c r="H24" s="138">
        <f>Unccalc1!H24</f>
        <v>1</v>
      </c>
      <c r="I24" s="56">
        <f t="shared" si="2"/>
        <v>4.4748809999999999E-10</v>
      </c>
      <c r="J24" s="57">
        <f t="shared" si="3"/>
        <v>2.2374404999999999E-10</v>
      </c>
      <c r="K24" s="52" t="s">
        <v>88</v>
      </c>
      <c r="L24" s="56">
        <f>1/C24*B$2</f>
        <v>83328631.217714623</v>
      </c>
      <c r="M24" s="58">
        <f t="shared" si="4"/>
        <v>1.8644285429607901E-2</v>
      </c>
      <c r="N24" s="147">
        <f>Unccalc1!N24</f>
        <v>30</v>
      </c>
      <c r="O24" s="56">
        <f t="shared" si="0"/>
        <v>3.4760937918068948E-4</v>
      </c>
      <c r="P24" s="59">
        <f t="shared" si="5"/>
        <v>5.3269386941736867</v>
      </c>
    </row>
    <row r="25" spans="1:16" ht="18.75" customHeight="1" thickBot="1" x14ac:dyDescent="0.4">
      <c r="A25" s="268" t="s">
        <v>26</v>
      </c>
      <c r="B25" s="269"/>
      <c r="C25" s="269"/>
      <c r="D25" s="270"/>
      <c r="E25" s="111"/>
      <c r="F25" s="112"/>
      <c r="G25" s="113"/>
      <c r="H25" s="114"/>
      <c r="I25" s="105"/>
      <c r="J25" s="106"/>
      <c r="K25" s="107"/>
      <c r="L25" s="108"/>
      <c r="M25" s="115"/>
      <c r="N25" s="109"/>
      <c r="O25" s="108"/>
      <c r="P25" s="110"/>
    </row>
    <row r="26" spans="1:16" ht="18.75" customHeight="1" x14ac:dyDescent="0.35">
      <c r="A26" s="60" t="s">
        <v>27</v>
      </c>
      <c r="B26" s="61" t="s">
        <v>28</v>
      </c>
      <c r="C26" s="62">
        <f>B2/B5</f>
        <v>5.9962696741496846E-2</v>
      </c>
      <c r="D26" s="63" t="s">
        <v>29</v>
      </c>
      <c r="E26" s="129">
        <f>Unccalc1!E26</f>
        <v>5.0000000000000001E-4</v>
      </c>
      <c r="F26" s="34" t="str">
        <f>IF(G26=1,"%",IF(G26=2,D26,"ERR"))</f>
        <v>%</v>
      </c>
      <c r="G26" s="141">
        <f>Unccalc1!G26</f>
        <v>1</v>
      </c>
      <c r="H26" s="142">
        <f>Unccalc1!H26</f>
        <v>1</v>
      </c>
      <c r="I26" s="35">
        <f>IF(G26=1,E26/100*C26,E26)</f>
        <v>2.9981348370748423E-7</v>
      </c>
      <c r="J26" s="64">
        <f t="shared" si="3"/>
        <v>1.4990674185374212E-7</v>
      </c>
      <c r="K26" s="65" t="s">
        <v>174</v>
      </c>
      <c r="L26" s="66">
        <f>B5</f>
        <v>116739.24590445729</v>
      </c>
      <c r="M26" s="37">
        <f>L26*J26</f>
        <v>1.7500000000000002E-2</v>
      </c>
      <c r="N26" s="144">
        <f>Unccalc1!N26</f>
        <v>30</v>
      </c>
      <c r="O26" s="66">
        <f t="shared" si="0"/>
        <v>3.0625000000000004E-4</v>
      </c>
      <c r="P26" s="38">
        <f>M26/B$2*2000000</f>
        <v>5</v>
      </c>
    </row>
    <row r="27" spans="1:16" ht="18.75" customHeight="1" x14ac:dyDescent="0.35">
      <c r="A27" s="39" t="s">
        <v>92</v>
      </c>
      <c r="B27" s="49" t="s">
        <v>28</v>
      </c>
      <c r="C27" s="67">
        <f>C26</f>
        <v>5.9962696741496846E-2</v>
      </c>
      <c r="D27" s="50" t="s">
        <v>29</v>
      </c>
      <c r="E27" s="131">
        <f>Unccalc1!E27</f>
        <v>0</v>
      </c>
      <c r="F27" s="42" t="str">
        <f>IF(G27=1,"%",IF(G27=2,D27,"ERR"))</f>
        <v>kg</v>
      </c>
      <c r="G27" s="143">
        <f>Unccalc1!G27</f>
        <v>2</v>
      </c>
      <c r="H27" s="136">
        <f>Unccalc1!H27</f>
        <v>1</v>
      </c>
      <c r="I27" s="43">
        <f>IF(G27=1,E27/100*C27,E27)</f>
        <v>0</v>
      </c>
      <c r="J27" s="44">
        <f t="shared" si="3"/>
        <v>0</v>
      </c>
      <c r="K27" s="39" t="s">
        <v>174</v>
      </c>
      <c r="L27" s="43">
        <f>B5</f>
        <v>116739.24590445729</v>
      </c>
      <c r="M27" s="45">
        <f>L27*J27</f>
        <v>0</v>
      </c>
      <c r="N27" s="145">
        <f>Unccalc1!N27</f>
        <v>30</v>
      </c>
      <c r="O27" s="43">
        <f t="shared" si="0"/>
        <v>0</v>
      </c>
      <c r="P27" s="46">
        <f>SQRT(O27)/B$2*2000000</f>
        <v>0</v>
      </c>
    </row>
    <row r="28" spans="1:16" ht="18.75" customHeight="1" x14ac:dyDescent="0.35">
      <c r="A28" s="39" t="s">
        <v>94</v>
      </c>
      <c r="B28" s="49" t="s">
        <v>28</v>
      </c>
      <c r="C28" s="127">
        <f>Unccalc1!C28</f>
        <v>0</v>
      </c>
      <c r="D28" s="50" t="s">
        <v>29</v>
      </c>
      <c r="E28" s="131">
        <f>Unccalc1!E28</f>
        <v>0</v>
      </c>
      <c r="F28" s="42" t="str">
        <f t="shared" ref="F28:F45" si="6">IF(G28=1,"%",IF(G28=2,D28,"ERR"))</f>
        <v>kg</v>
      </c>
      <c r="G28" s="143">
        <f>Unccalc1!G28</f>
        <v>2</v>
      </c>
      <c r="H28" s="136">
        <f>Unccalc1!H28</f>
        <v>1</v>
      </c>
      <c r="I28" s="43">
        <f t="shared" ref="I28:I38" si="7">IF(G28=1,E28/100*C28,E28)</f>
        <v>0</v>
      </c>
      <c r="J28" s="44">
        <f t="shared" si="3"/>
        <v>0</v>
      </c>
      <c r="K28" s="39" t="s">
        <v>174</v>
      </c>
      <c r="L28" s="43">
        <f>B5</f>
        <v>116739.24590445729</v>
      </c>
      <c r="M28" s="45">
        <f t="shared" ref="M28:M36" si="8">L28*J28</f>
        <v>0</v>
      </c>
      <c r="N28" s="145">
        <f>Unccalc1!N28</f>
        <v>30</v>
      </c>
      <c r="O28" s="43">
        <f t="shared" si="0"/>
        <v>0</v>
      </c>
      <c r="P28" s="46">
        <f t="shared" ref="P28:P38" si="9">SQRT(O28)/B$2*2000000</f>
        <v>0</v>
      </c>
    </row>
    <row r="29" spans="1:16" ht="18.75" customHeight="1" x14ac:dyDescent="0.35">
      <c r="A29" s="39" t="s">
        <v>129</v>
      </c>
      <c r="B29" s="49" t="s">
        <v>28</v>
      </c>
      <c r="C29" s="127">
        <f>Unccalc1!C29</f>
        <v>9.7201899999999994E-2</v>
      </c>
      <c r="D29" s="50" t="s">
        <v>29</v>
      </c>
      <c r="E29" s="131">
        <f>Unccalc1!E29</f>
        <v>4.9999999999999998E-7</v>
      </c>
      <c r="F29" s="42" t="str">
        <f t="shared" si="6"/>
        <v>kg</v>
      </c>
      <c r="G29" s="143">
        <f>Unccalc1!G29</f>
        <v>2</v>
      </c>
      <c r="H29" s="136">
        <f>Unccalc1!H29</f>
        <v>1</v>
      </c>
      <c r="I29" s="43">
        <f t="shared" si="7"/>
        <v>4.9999999999999998E-7</v>
      </c>
      <c r="J29" s="44">
        <f t="shared" si="3"/>
        <v>2.4999999999999999E-7</v>
      </c>
      <c r="K29" s="39" t="s">
        <v>174</v>
      </c>
      <c r="L29" s="43">
        <f>B5</f>
        <v>116739.24590445729</v>
      </c>
      <c r="M29" s="45">
        <f t="shared" si="8"/>
        <v>2.918481147611432E-2</v>
      </c>
      <c r="N29" s="145">
        <f>Unccalc1!N29</f>
        <v>30</v>
      </c>
      <c r="O29" s="43">
        <f t="shared" si="0"/>
        <v>8.5175322089633412E-4</v>
      </c>
      <c r="P29" s="46">
        <f t="shared" si="9"/>
        <v>8.338517564604091</v>
      </c>
    </row>
    <row r="30" spans="1:16" ht="18.75" customHeight="1" x14ac:dyDescent="0.35">
      <c r="A30" s="39" t="s">
        <v>130</v>
      </c>
      <c r="B30" s="49" t="s">
        <v>28</v>
      </c>
      <c r="C30" s="127">
        <f>Unccalc1!C30</f>
        <v>0.1127615</v>
      </c>
      <c r="D30" s="50" t="s">
        <v>29</v>
      </c>
      <c r="E30" s="131">
        <f>Unccalc1!E30</f>
        <v>4.9999999999999998E-7</v>
      </c>
      <c r="F30" s="42" t="str">
        <f t="shared" si="6"/>
        <v>kg</v>
      </c>
      <c r="G30" s="143">
        <f>Unccalc1!G30</f>
        <v>2</v>
      </c>
      <c r="H30" s="136">
        <f>Unccalc1!H30</f>
        <v>1</v>
      </c>
      <c r="I30" s="43">
        <f t="shared" si="7"/>
        <v>4.9999999999999998E-7</v>
      </c>
      <c r="J30" s="44">
        <f t="shared" si="3"/>
        <v>2.4999999999999999E-7</v>
      </c>
      <c r="K30" s="39" t="s">
        <v>174</v>
      </c>
      <c r="L30" s="43">
        <f>B5</f>
        <v>116739.24590445729</v>
      </c>
      <c r="M30" s="45">
        <f t="shared" si="8"/>
        <v>2.918481147611432E-2</v>
      </c>
      <c r="N30" s="145">
        <f>Unccalc1!N30</f>
        <v>30</v>
      </c>
      <c r="O30" s="43">
        <f t="shared" si="0"/>
        <v>8.5175322089633412E-4</v>
      </c>
      <c r="P30" s="46">
        <f t="shared" si="9"/>
        <v>8.338517564604091</v>
      </c>
    </row>
    <row r="31" spans="1:16" ht="18.75" customHeight="1" x14ac:dyDescent="0.35">
      <c r="A31" s="39" t="s">
        <v>30</v>
      </c>
      <c r="B31" s="49" t="s">
        <v>31</v>
      </c>
      <c r="C31" s="127">
        <f>Unccalc1!C31</f>
        <v>9.8066499999999994</v>
      </c>
      <c r="D31" s="50" t="s">
        <v>32</v>
      </c>
      <c r="E31" s="131">
        <f>Unccalc1!E31</f>
        <v>3.9999999999999998E-11</v>
      </c>
      <c r="F31" s="42" t="str">
        <f t="shared" si="6"/>
        <v>m/sec2</v>
      </c>
      <c r="G31" s="143">
        <f>Unccalc1!G31</f>
        <v>2</v>
      </c>
      <c r="H31" s="136">
        <f>Unccalc1!H31</f>
        <v>1</v>
      </c>
      <c r="I31" s="43">
        <f t="shared" si="7"/>
        <v>3.9999999999999998E-11</v>
      </c>
      <c r="J31" s="44">
        <f t="shared" si="3"/>
        <v>1.9999999999999999E-11</v>
      </c>
      <c r="K31" s="39" t="s">
        <v>89</v>
      </c>
      <c r="L31" s="43">
        <f>1/C31*B2</f>
        <v>713.80134908454977</v>
      </c>
      <c r="M31" s="45">
        <f t="shared" si="8"/>
        <v>1.4276026981690994E-8</v>
      </c>
      <c r="N31" s="145">
        <f>Unccalc1!N31</f>
        <v>30</v>
      </c>
      <c r="O31" s="43">
        <f t="shared" si="0"/>
        <v>2.0380494638196928E-16</v>
      </c>
      <c r="P31" s="46">
        <f t="shared" si="9"/>
        <v>4.0788648519117121E-6</v>
      </c>
    </row>
    <row r="32" spans="1:16" ht="18.75" customHeight="1" x14ac:dyDescent="0.35">
      <c r="A32" s="39" t="s">
        <v>33</v>
      </c>
      <c r="B32" s="51" t="s">
        <v>34</v>
      </c>
      <c r="C32" s="127">
        <f>Unccalc1!C32</f>
        <v>1.2</v>
      </c>
      <c r="D32" s="50" t="s">
        <v>35</v>
      </c>
      <c r="E32" s="131">
        <f>Unccalc1!E32</f>
        <v>7.0000000000000001E-3</v>
      </c>
      <c r="F32" s="42" t="str">
        <f t="shared" si="6"/>
        <v>kg/m3</v>
      </c>
      <c r="G32" s="143">
        <f>Unccalc1!G32</f>
        <v>2</v>
      </c>
      <c r="H32" s="136">
        <f>Unccalc1!H32</f>
        <v>1</v>
      </c>
      <c r="I32" s="43">
        <f t="shared" si="7"/>
        <v>7.0000000000000001E-3</v>
      </c>
      <c r="J32" s="44">
        <f>IF(B$3=1,0,IF(H32=1,I32/2,I32/SQRT(3)))</f>
        <v>0</v>
      </c>
      <c r="K32" s="68" t="s">
        <v>90</v>
      </c>
      <c r="L32" s="43">
        <f>1/C36*B2</f>
        <v>0.89743589743589747</v>
      </c>
      <c r="M32" s="45">
        <f t="shared" si="8"/>
        <v>0</v>
      </c>
      <c r="N32" s="145">
        <f>Unccalc1!N32</f>
        <v>30</v>
      </c>
      <c r="O32" s="43">
        <f t="shared" si="0"/>
        <v>0</v>
      </c>
      <c r="P32" s="46">
        <f t="shared" si="9"/>
        <v>0</v>
      </c>
    </row>
    <row r="33" spans="1:16" ht="18.75" customHeight="1" x14ac:dyDescent="0.35">
      <c r="A33" s="39" t="s">
        <v>69</v>
      </c>
      <c r="B33" s="69" t="s">
        <v>75</v>
      </c>
      <c r="C33" s="127">
        <f>Unccalc1!C33</f>
        <v>101325</v>
      </c>
      <c r="D33" s="50" t="s">
        <v>50</v>
      </c>
      <c r="E33" s="131">
        <f>Unccalc1!E33</f>
        <v>140</v>
      </c>
      <c r="F33" s="42" t="str">
        <f t="shared" si="6"/>
        <v>Pa</v>
      </c>
      <c r="G33" s="143">
        <f>Unccalc1!G33</f>
        <v>2</v>
      </c>
      <c r="H33" s="136">
        <f>Unccalc1!H33</f>
        <v>1</v>
      </c>
      <c r="I33" s="43">
        <f t="shared" si="7"/>
        <v>140</v>
      </c>
      <c r="J33" s="44">
        <f>IF(E$32=0,IF(B$3=1,0,IF(H33=1,I33/2,I33/SQRT(3))),0)</f>
        <v>0</v>
      </c>
      <c r="K33" s="118" t="s">
        <v>132</v>
      </c>
      <c r="L33" s="43">
        <f>0.0000015*B2</f>
        <v>1.0500000000000001E-2</v>
      </c>
      <c r="M33" s="45">
        <f>L33*J33/1000</f>
        <v>0</v>
      </c>
      <c r="N33" s="145">
        <f>Unccalc1!N33</f>
        <v>30</v>
      </c>
      <c r="O33" s="43">
        <f t="shared" si="0"/>
        <v>0</v>
      </c>
      <c r="P33" s="46">
        <f t="shared" si="9"/>
        <v>0</v>
      </c>
    </row>
    <row r="34" spans="1:16" ht="18.75" customHeight="1" x14ac:dyDescent="0.35">
      <c r="A34" s="39" t="s">
        <v>70</v>
      </c>
      <c r="B34" s="69" t="s">
        <v>76</v>
      </c>
      <c r="C34" s="127">
        <f>Unccalc1!C34</f>
        <v>22</v>
      </c>
      <c r="D34" s="48" t="s">
        <v>60</v>
      </c>
      <c r="E34" s="131">
        <f>Unccalc1!E34</f>
        <v>0.14000000000000001</v>
      </c>
      <c r="F34" s="42" t="str">
        <f t="shared" si="6"/>
        <v>°C</v>
      </c>
      <c r="G34" s="143">
        <f>Unccalc1!G34</f>
        <v>2</v>
      </c>
      <c r="H34" s="136">
        <f>Unccalc1!H34</f>
        <v>1</v>
      </c>
      <c r="I34" s="43">
        <f t="shared" si="7"/>
        <v>0.14000000000000001</v>
      </c>
      <c r="J34" s="44">
        <f t="shared" ref="J34:J35" si="10">IF(E$32=0,IF(B$3=1,0,IF(H34=1,I34/2,I34/SQRT(3))),0)</f>
        <v>0</v>
      </c>
      <c r="K34" s="118" t="s">
        <v>133</v>
      </c>
      <c r="L34" s="43">
        <f>0.00000055*B2</f>
        <v>3.8500000000000001E-3</v>
      </c>
      <c r="M34" s="45">
        <f t="shared" si="8"/>
        <v>0</v>
      </c>
      <c r="N34" s="145">
        <f>Unccalc1!N34</f>
        <v>30</v>
      </c>
      <c r="O34" s="43">
        <f t="shared" si="0"/>
        <v>0</v>
      </c>
      <c r="P34" s="46">
        <f t="shared" si="9"/>
        <v>0</v>
      </c>
    </row>
    <row r="35" spans="1:16" ht="18.75" customHeight="1" x14ac:dyDescent="0.35">
      <c r="A35" s="39" t="s">
        <v>71</v>
      </c>
      <c r="B35" s="69" t="s">
        <v>77</v>
      </c>
      <c r="C35" s="127">
        <f>Unccalc1!C35</f>
        <v>50</v>
      </c>
      <c r="D35" s="50" t="s">
        <v>113</v>
      </c>
      <c r="E35" s="131">
        <f>Unccalc1!E35</f>
        <v>10</v>
      </c>
      <c r="F35" s="70" t="str">
        <f t="shared" si="6"/>
        <v>%RH</v>
      </c>
      <c r="G35" s="143">
        <f>Unccalc1!G35</f>
        <v>2</v>
      </c>
      <c r="H35" s="136">
        <f>Unccalc1!H35</f>
        <v>1</v>
      </c>
      <c r="I35" s="43">
        <f t="shared" si="7"/>
        <v>10</v>
      </c>
      <c r="J35" s="44">
        <f t="shared" si="10"/>
        <v>0</v>
      </c>
      <c r="K35" s="118" t="s">
        <v>134</v>
      </c>
      <c r="L35" s="43">
        <f>0.000000012*B2</f>
        <v>8.3999999999999995E-5</v>
      </c>
      <c r="M35" s="45">
        <f t="shared" si="8"/>
        <v>0</v>
      </c>
      <c r="N35" s="145">
        <f>Unccalc1!N35</f>
        <v>30</v>
      </c>
      <c r="O35" s="43">
        <f t="shared" si="0"/>
        <v>0</v>
      </c>
      <c r="P35" s="46">
        <f t="shared" si="9"/>
        <v>0</v>
      </c>
    </row>
    <row r="36" spans="1:16" ht="18.75" customHeight="1" x14ac:dyDescent="0.35">
      <c r="A36" s="39" t="s">
        <v>86</v>
      </c>
      <c r="B36" s="51" t="s">
        <v>36</v>
      </c>
      <c r="C36" s="127">
        <f>Unccalc1!C36</f>
        <v>7800</v>
      </c>
      <c r="D36" s="50" t="s">
        <v>35</v>
      </c>
      <c r="E36" s="131">
        <f>Unccalc1!E36</f>
        <v>40</v>
      </c>
      <c r="F36" s="70" t="str">
        <f t="shared" si="6"/>
        <v>kg/m3</v>
      </c>
      <c r="G36" s="143">
        <f>Unccalc1!G36</f>
        <v>2</v>
      </c>
      <c r="H36" s="136">
        <f>Unccalc1!H36</f>
        <v>2</v>
      </c>
      <c r="I36" s="43">
        <f t="shared" si="7"/>
        <v>40</v>
      </c>
      <c r="J36" s="44">
        <f>IF(B3=1,IF(H36=1,I36/2,I36/SQRT(3)),0)</f>
        <v>23.094010767585033</v>
      </c>
      <c r="K36" s="68" t="s">
        <v>93</v>
      </c>
      <c r="L36" s="43">
        <f>C32/C36^2*B2</f>
        <v>1.3806706114398424E-4</v>
      </c>
      <c r="M36" s="45">
        <f t="shared" si="8"/>
        <v>3.1885221967079928E-3</v>
      </c>
      <c r="N36" s="145">
        <f>Unccalc1!N36</f>
        <v>30</v>
      </c>
      <c r="O36" s="43">
        <f t="shared" si="0"/>
        <v>1.0166673798899565E-5</v>
      </c>
      <c r="P36" s="46">
        <f t="shared" si="9"/>
        <v>0.91100634191656937</v>
      </c>
    </row>
    <row r="37" spans="1:16" ht="18.75" customHeight="1" x14ac:dyDescent="0.35">
      <c r="A37" s="71" t="s">
        <v>114</v>
      </c>
      <c r="B37" s="72" t="s">
        <v>115</v>
      </c>
      <c r="C37" s="139">
        <f>Unccalc1!C37</f>
        <v>3.2000000000000001E-2</v>
      </c>
      <c r="D37" s="73" t="s">
        <v>116</v>
      </c>
      <c r="E37" s="140">
        <f>Unccalc1!E37</f>
        <v>10</v>
      </c>
      <c r="F37" s="70" t="str">
        <f t="shared" si="6"/>
        <v>%</v>
      </c>
      <c r="G37" s="143">
        <f>Unccalc1!G37</f>
        <v>1</v>
      </c>
      <c r="H37" s="136">
        <f>Unccalc1!H37</f>
        <v>2</v>
      </c>
      <c r="I37" s="43">
        <f t="shared" si="7"/>
        <v>3.2000000000000002E-3</v>
      </c>
      <c r="J37" s="44">
        <f>IF(B3=1,0,IF(OR(B4=2,B4=3),IF(H37=1,I37/2,I37/SQRT(3)),0))</f>
        <v>0</v>
      </c>
      <c r="K37" s="116" t="s">
        <v>127</v>
      </c>
      <c r="L37" s="74">
        <f>(PI()*SQRT(C15/PI())*2)/C15</f>
        <v>386.77022759349387</v>
      </c>
      <c r="M37" s="75">
        <f>L37*J37</f>
        <v>0</v>
      </c>
      <c r="N37" s="146">
        <f>Unccalc1!N37</f>
        <v>30</v>
      </c>
      <c r="O37" s="74">
        <f t="shared" si="0"/>
        <v>0</v>
      </c>
      <c r="P37" s="76">
        <f t="shared" si="9"/>
        <v>0</v>
      </c>
    </row>
    <row r="38" spans="1:16" ht="18.75" customHeight="1" thickBot="1" x14ac:dyDescent="0.4">
      <c r="A38" s="52" t="s">
        <v>37</v>
      </c>
      <c r="B38" s="77" t="s">
        <v>38</v>
      </c>
      <c r="C38" s="128">
        <f>Unccalc1!C38</f>
        <v>0</v>
      </c>
      <c r="D38" s="54" t="s">
        <v>39</v>
      </c>
      <c r="E38" s="132">
        <f>Unccalc1!E38</f>
        <v>0.05</v>
      </c>
      <c r="F38" s="55" t="str">
        <f t="shared" si="6"/>
        <v>deg.</v>
      </c>
      <c r="G38" s="137">
        <f>Unccalc1!G38</f>
        <v>2</v>
      </c>
      <c r="H38" s="138">
        <f>Unccalc1!H38</f>
        <v>2</v>
      </c>
      <c r="I38" s="56">
        <f t="shared" si="7"/>
        <v>0.05</v>
      </c>
      <c r="J38" s="57">
        <f t="shared" si="3"/>
        <v>2.8867513459481291E-2</v>
      </c>
      <c r="K38" s="52" t="s">
        <v>109</v>
      </c>
      <c r="L38" s="56">
        <f>(1-COS(RADIANS(J38)))*B2</f>
        <v>8.8846745582848996E-4</v>
      </c>
      <c r="M38" s="58">
        <f>L38</f>
        <v>8.8846745582848996E-4</v>
      </c>
      <c r="N38" s="147">
        <f>Unccalc1!N38</f>
        <v>30</v>
      </c>
      <c r="O38" s="56">
        <f t="shared" si="0"/>
        <v>7.8937442006634976E-7</v>
      </c>
      <c r="P38" s="59">
        <f t="shared" si="9"/>
        <v>0.2538478445224257</v>
      </c>
    </row>
    <row r="39" spans="1:16" ht="18.75" customHeight="1" thickBot="1" x14ac:dyDescent="0.4">
      <c r="A39" s="268" t="s">
        <v>40</v>
      </c>
      <c r="B39" s="269"/>
      <c r="C39" s="269"/>
      <c r="D39" s="270"/>
      <c r="E39" s="111"/>
      <c r="F39" s="112"/>
      <c r="G39" s="113"/>
      <c r="H39" s="114"/>
      <c r="I39" s="105"/>
      <c r="J39" s="106"/>
      <c r="K39" s="107"/>
      <c r="L39" s="108"/>
      <c r="M39" s="115"/>
      <c r="N39" s="109"/>
      <c r="O39" s="108"/>
      <c r="P39" s="110"/>
    </row>
    <row r="40" spans="1:16" ht="18.75" customHeight="1" x14ac:dyDescent="0.35">
      <c r="A40" s="39" t="s">
        <v>41</v>
      </c>
      <c r="B40" s="51" t="s">
        <v>42</v>
      </c>
      <c r="C40" s="67">
        <f>IF(B4=2,B6,IF(B4=3,998.2123,1.1647*G2/C33))</f>
        <v>8.0462867012089809E-2</v>
      </c>
      <c r="D40" s="50" t="s">
        <v>35</v>
      </c>
      <c r="E40" s="149">
        <f>Unccalc1!E40</f>
        <v>0.1</v>
      </c>
      <c r="F40" s="78" t="str">
        <f t="shared" si="6"/>
        <v>%</v>
      </c>
      <c r="G40" s="150">
        <f>Unccalc1!G40</f>
        <v>1</v>
      </c>
      <c r="H40" s="136">
        <f>Unccalc1!H40</f>
        <v>1</v>
      </c>
      <c r="I40" s="35">
        <f>IF(G40=1,E40/100*C40,E40)</f>
        <v>8.0462867012089811E-5</v>
      </c>
      <c r="J40" s="44">
        <f t="shared" si="3"/>
        <v>4.0231433506044906E-5</v>
      </c>
      <c r="K40" s="39" t="s">
        <v>121</v>
      </c>
      <c r="L40" s="43">
        <f>C15*C41/C26*B2</f>
        <v>0</v>
      </c>
      <c r="M40" s="37">
        <f>L40*J40</f>
        <v>0</v>
      </c>
      <c r="N40" s="145">
        <f>Unccalc1!N40</f>
        <v>30</v>
      </c>
      <c r="O40" s="43">
        <f t="shared" si="0"/>
        <v>0</v>
      </c>
      <c r="P40" s="38">
        <f>SQRT(O40)/B$2*2000000</f>
        <v>0</v>
      </c>
    </row>
    <row r="41" spans="1:16" ht="18.75" customHeight="1" x14ac:dyDescent="0.35">
      <c r="A41" s="39" t="s">
        <v>43</v>
      </c>
      <c r="B41" s="49" t="s">
        <v>44</v>
      </c>
      <c r="C41" s="127">
        <f>Unccalc1!C41</f>
        <v>0</v>
      </c>
      <c r="D41" s="50" t="s">
        <v>45</v>
      </c>
      <c r="E41" s="131">
        <f>Unccalc1!E41</f>
        <v>2E-3</v>
      </c>
      <c r="F41" s="70" t="str">
        <f t="shared" si="6"/>
        <v>m</v>
      </c>
      <c r="G41" s="143">
        <f>Unccalc1!G41</f>
        <v>2</v>
      </c>
      <c r="H41" s="136">
        <f>Unccalc1!H41</f>
        <v>1</v>
      </c>
      <c r="I41" s="43">
        <f>IF(G41=1,E41/100*C41,E41)</f>
        <v>2E-3</v>
      </c>
      <c r="J41" s="44">
        <f t="shared" si="3"/>
        <v>1E-3</v>
      </c>
      <c r="K41" s="39" t="s">
        <v>131</v>
      </c>
      <c r="L41" s="43">
        <f>IF(B3=1,C31*C40,(C40-C32)*C31)</f>
        <v>0.78907117478411049</v>
      </c>
      <c r="M41" s="45">
        <f>L41*J41</f>
        <v>7.8907117478411049E-4</v>
      </c>
      <c r="N41" s="145">
        <f>Unccalc1!N41</f>
        <v>30</v>
      </c>
      <c r="O41" s="43">
        <f t="shared" si="0"/>
        <v>6.2263331887517628E-7</v>
      </c>
      <c r="P41" s="46">
        <f>SQRT(O41)/B$2*2000000</f>
        <v>0.22544890708117443</v>
      </c>
    </row>
    <row r="42" spans="1:16" ht="18.75" customHeight="1" x14ac:dyDescent="0.35">
      <c r="A42" s="39" t="s">
        <v>46</v>
      </c>
      <c r="B42" s="49" t="s">
        <v>47</v>
      </c>
      <c r="C42" s="127">
        <f>Unccalc1!C42</f>
        <v>0</v>
      </c>
      <c r="D42" s="50" t="s">
        <v>45</v>
      </c>
      <c r="E42" s="131">
        <f>Unccalc1!E42</f>
        <v>2.0000000000000001E-4</v>
      </c>
      <c r="F42" s="70" t="str">
        <f t="shared" si="6"/>
        <v>m</v>
      </c>
      <c r="G42" s="143">
        <f>Unccalc1!G42</f>
        <v>2</v>
      </c>
      <c r="H42" s="136">
        <f>Unccalc1!H42</f>
        <v>1</v>
      </c>
      <c r="I42" s="43">
        <f t="shared" ref="I42:I45" si="11">IF(G42=1,E42/100*C42,E42)</f>
        <v>2.0000000000000001E-4</v>
      </c>
      <c r="J42" s="44">
        <f t="shared" si="3"/>
        <v>1E-4</v>
      </c>
      <c r="K42" s="39" t="s">
        <v>131</v>
      </c>
      <c r="L42" s="43">
        <f>IF(B3=1,C31*C40,(C40-C32)*C31)</f>
        <v>0.78907117478411049</v>
      </c>
      <c r="M42" s="45">
        <f t="shared" ref="M42:M45" si="12">L42*J42</f>
        <v>7.8907117478411055E-5</v>
      </c>
      <c r="N42" s="145">
        <f>Unccalc1!N42</f>
        <v>30</v>
      </c>
      <c r="O42" s="43">
        <f t="shared" si="0"/>
        <v>6.2263331887517632E-9</v>
      </c>
      <c r="P42" s="46">
        <f t="shared" ref="P42:P45" si="13">SQRT(O42)/B$2*2000000</f>
        <v>2.2544890708117445E-2</v>
      </c>
    </row>
    <row r="43" spans="1:16" ht="18.75" customHeight="1" x14ac:dyDescent="0.35">
      <c r="A43" s="39" t="s">
        <v>65</v>
      </c>
      <c r="B43" s="49" t="s">
        <v>66</v>
      </c>
      <c r="C43" s="127">
        <f>Unccalc1!C43</f>
        <v>101325</v>
      </c>
      <c r="D43" s="50" t="s">
        <v>50</v>
      </c>
      <c r="E43" s="131">
        <f>Unccalc1!E43</f>
        <v>10</v>
      </c>
      <c r="F43" s="70" t="str">
        <f t="shared" si="6"/>
        <v>Pa</v>
      </c>
      <c r="G43" s="143">
        <f>Unccalc1!G43</f>
        <v>2</v>
      </c>
      <c r="H43" s="136">
        <f>Unccalc1!H43</f>
        <v>1</v>
      </c>
      <c r="I43" s="43">
        <f t="shared" si="11"/>
        <v>10</v>
      </c>
      <c r="J43" s="44">
        <f>IF(B3=3,IF(H43=1,I43/2,I43/SQRT(3)),0)</f>
        <v>0</v>
      </c>
      <c r="K43" s="39">
        <v>1</v>
      </c>
      <c r="L43" s="43">
        <v>1</v>
      </c>
      <c r="M43" s="45">
        <f t="shared" si="12"/>
        <v>0</v>
      </c>
      <c r="N43" s="145">
        <f>Unccalc1!N43</f>
        <v>30</v>
      </c>
      <c r="O43" s="43">
        <f t="shared" si="0"/>
        <v>0</v>
      </c>
      <c r="P43" s="46">
        <f t="shared" si="13"/>
        <v>0</v>
      </c>
    </row>
    <row r="44" spans="1:16" ht="18.75" customHeight="1" x14ac:dyDescent="0.35">
      <c r="A44" s="39" t="s">
        <v>48</v>
      </c>
      <c r="B44" s="49" t="s">
        <v>49</v>
      </c>
      <c r="C44" s="127">
        <f>Unccalc1!C44</f>
        <v>5</v>
      </c>
      <c r="D44" s="50" t="s">
        <v>50</v>
      </c>
      <c r="E44" s="131">
        <f>Unccalc1!E44</f>
        <v>10</v>
      </c>
      <c r="F44" s="70" t="str">
        <f t="shared" si="6"/>
        <v>%</v>
      </c>
      <c r="G44" s="143">
        <f>Unccalc1!G44</f>
        <v>1</v>
      </c>
      <c r="H44" s="136">
        <f>Unccalc1!H44</f>
        <v>1</v>
      </c>
      <c r="I44" s="43">
        <f t="shared" si="11"/>
        <v>0.5</v>
      </c>
      <c r="J44" s="44">
        <f>IF(B4&lt;&gt;1,0,IF(B3=1,IF(H44=1,I44/2,I44/SQRT(3)),0))</f>
        <v>0.25</v>
      </c>
      <c r="K44" s="39">
        <v>1</v>
      </c>
      <c r="L44" s="43">
        <v>1</v>
      </c>
      <c r="M44" s="45">
        <f t="shared" si="12"/>
        <v>0.25</v>
      </c>
      <c r="N44" s="145">
        <f>Unccalc1!N44</f>
        <v>30</v>
      </c>
      <c r="O44" s="43">
        <f t="shared" si="0"/>
        <v>6.25E-2</v>
      </c>
      <c r="P44" s="46">
        <f t="shared" si="13"/>
        <v>71.428571428571431</v>
      </c>
    </row>
    <row r="45" spans="1:16" ht="18.75" customHeight="1" thickBot="1" x14ac:dyDescent="0.4">
      <c r="A45" s="71" t="s">
        <v>110</v>
      </c>
      <c r="B45" s="79" t="s">
        <v>103</v>
      </c>
      <c r="C45" s="139">
        <f>B2</f>
        <v>7000</v>
      </c>
      <c r="D45" s="73" t="s">
        <v>50</v>
      </c>
      <c r="E45" s="132">
        <f>Unccalc1!E45</f>
        <v>0</v>
      </c>
      <c r="F45" s="80" t="str">
        <f t="shared" si="6"/>
        <v>Pa</v>
      </c>
      <c r="G45" s="151">
        <f>Unccalc1!G45</f>
        <v>2</v>
      </c>
      <c r="H45" s="152">
        <f>Unccalc1!H45</f>
        <v>1</v>
      </c>
      <c r="I45" s="43">
        <f t="shared" si="11"/>
        <v>0</v>
      </c>
      <c r="J45" s="81">
        <f t="shared" si="3"/>
        <v>0</v>
      </c>
      <c r="K45" s="71">
        <v>1</v>
      </c>
      <c r="L45" s="74">
        <v>1</v>
      </c>
      <c r="M45" s="75">
        <f t="shared" si="12"/>
        <v>0</v>
      </c>
      <c r="N45" s="146">
        <f>Unccalc1!N45</f>
        <v>30</v>
      </c>
      <c r="O45" s="74">
        <f t="shared" si="0"/>
        <v>0</v>
      </c>
      <c r="P45" s="76">
        <f t="shared" si="13"/>
        <v>0</v>
      </c>
    </row>
    <row r="46" spans="1:16" x14ac:dyDescent="0.35">
      <c r="A46" s="82"/>
      <c r="B46" s="82"/>
      <c r="C46" s="82"/>
      <c r="D46" s="82"/>
      <c r="E46" s="82"/>
      <c r="F46" s="82"/>
      <c r="G46" s="82"/>
      <c r="H46" s="82"/>
      <c r="I46" s="4"/>
      <c r="J46" s="83"/>
      <c r="K46" s="84"/>
      <c r="L46" s="85" t="s">
        <v>51</v>
      </c>
      <c r="M46" s="86">
        <f>SUM(O15:O45)</f>
        <v>6.5896323279850288E-2</v>
      </c>
      <c r="N46" s="87" t="s">
        <v>50</v>
      </c>
      <c r="O46" s="6"/>
      <c r="P46" s="88" t="s">
        <v>100</v>
      </c>
    </row>
    <row r="47" spans="1:16" x14ac:dyDescent="0.35">
      <c r="J47" s="89"/>
      <c r="K47" s="90"/>
      <c r="L47" s="89" t="s">
        <v>52</v>
      </c>
      <c r="M47" s="91">
        <f>SQRT(M46)</f>
        <v>0.25670279172586008</v>
      </c>
      <c r="N47" s="92" t="s">
        <v>50</v>
      </c>
      <c r="O47" s="13" t="s">
        <v>99</v>
      </c>
      <c r="P47" s="93">
        <f>TINV((100-B10)/100,VALUE(P48))</f>
        <v>2.0345152974493397</v>
      </c>
    </row>
    <row r="48" spans="1:16" ht="15" thickBot="1" x14ac:dyDescent="0.4">
      <c r="J48" s="89"/>
      <c r="K48" s="90"/>
      <c r="L48" s="94" t="str">
        <f>"Expanded Uncertainty ("&amp;B10&amp;"%):"</f>
        <v>Expanded Uncertainty (95%):</v>
      </c>
      <c r="M48" s="95">
        <f>M47*P47</f>
        <v>0.52226575666421415</v>
      </c>
      <c r="N48" s="92" t="s">
        <v>50</v>
      </c>
      <c r="O48" s="20" t="s">
        <v>56</v>
      </c>
      <c r="P48" s="96">
        <f>M47^4/(M15^4/N15+M16^4/N16+M17^4/N17+M18^4/N18+M19^4/N19+M20^4/N20+M22^4/N22+M24^4/N24+M26^4/N26+M27^4/N27+M28^4/N28+M31^4/N31+M32^4/N32+M33^4/N33+M34^4/N34+M35^4/N35+M36^4/N36+M38^4/N38+M40^4/N40+M41^4/N41+M42^4/N42+M43^4/N43+M44^4/N44+M45^4/N45+M21^4/N21+M23^4/N23+M29^4/N29+M30^4/N30+M37^4/N37)</f>
        <v>33.328608530485397</v>
      </c>
    </row>
    <row r="49" spans="1:14" ht="15" thickBot="1" x14ac:dyDescent="0.4">
      <c r="K49" s="97"/>
      <c r="L49" s="98" t="str">
        <f>"Expanded Uncertainty ("&amp;B10&amp;"%):"</f>
        <v>Expanded Uncertainty (95%):</v>
      </c>
      <c r="M49" s="99">
        <f>M47*P47/B2*1000000</f>
        <v>74.609393809173454</v>
      </c>
      <c r="N49" s="100" t="s">
        <v>73</v>
      </c>
    </row>
    <row r="56" spans="1:14" x14ac:dyDescent="0.35">
      <c r="A56" s="101"/>
    </row>
    <row r="57" spans="1:14" x14ac:dyDescent="0.35">
      <c r="A57" s="101"/>
    </row>
    <row r="58" spans="1:14" x14ac:dyDescent="0.35">
      <c r="A58" s="101"/>
    </row>
    <row r="59" spans="1:14" x14ac:dyDescent="0.35">
      <c r="A59" s="101"/>
    </row>
    <row r="60" spans="1:14" x14ac:dyDescent="0.35">
      <c r="A60" s="101"/>
    </row>
  </sheetData>
  <sheetProtection password="C6CA" sheet="1" objects="1" scenarios="1" selectLockedCells="1"/>
  <mergeCells count="9">
    <mergeCell ref="A39:D39"/>
    <mergeCell ref="A1:I1"/>
    <mergeCell ref="A11:D11"/>
    <mergeCell ref="E11:J11"/>
    <mergeCell ref="K11:P11"/>
    <mergeCell ref="E12:F12"/>
    <mergeCell ref="E13:F13"/>
    <mergeCell ref="A14:D14"/>
    <mergeCell ref="A25:D25"/>
  </mergeCells>
  <conditionalFormatting sqref="A32:P35">
    <cfRule type="expression" dxfId="8" priority="9">
      <formula>$B$3=1</formula>
    </cfRule>
  </conditionalFormatting>
  <conditionalFormatting sqref="A36:P36">
    <cfRule type="expression" dxfId="7" priority="7">
      <formula>$B$3=3</formula>
    </cfRule>
    <cfRule type="expression" dxfId="6" priority="8">
      <formula>$B$3=2</formula>
    </cfRule>
  </conditionalFormatting>
  <conditionalFormatting sqref="A37:P37">
    <cfRule type="expression" dxfId="5" priority="5">
      <formula>$B$3=1</formula>
    </cfRule>
    <cfRule type="expression" dxfId="4" priority="6">
      <formula>$B$4=1</formula>
    </cfRule>
  </conditionalFormatting>
  <conditionalFormatting sqref="A33:P35">
    <cfRule type="expression" dxfId="3" priority="4">
      <formula>$E$32&lt;&gt;0</formula>
    </cfRule>
  </conditionalFormatting>
  <conditionalFormatting sqref="A43:P43">
    <cfRule type="expression" dxfId="2" priority="3">
      <formula>$B$3&lt;&gt;3</formula>
    </cfRule>
  </conditionalFormatting>
  <conditionalFormatting sqref="A44:P44">
    <cfRule type="expression" dxfId="1" priority="1">
      <formula>$B$4&lt;&gt;1</formula>
    </cfRule>
    <cfRule type="expression" dxfId="0" priority="2">
      <formula>$B$3&lt;&gt;1</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50"/>
  <sheetViews>
    <sheetView zoomScaleNormal="100" workbookViewId="0">
      <selection activeCell="A2" sqref="A2"/>
    </sheetView>
  </sheetViews>
  <sheetFormatPr defaultColWidth="9.1796875" defaultRowHeight="13" x14ac:dyDescent="0.3"/>
  <cols>
    <col min="1" max="1" width="15.7265625" style="154" bestFit="1" customWidth="1"/>
    <col min="2" max="2" width="12.54296875" style="154" bestFit="1" customWidth="1"/>
    <col min="3" max="3" width="16.453125" style="154" bestFit="1" customWidth="1"/>
    <col min="4" max="5" width="11.54296875" style="154" bestFit="1" customWidth="1"/>
    <col min="6" max="6" width="10.7265625" style="154" bestFit="1" customWidth="1"/>
    <col min="7" max="7" width="13.7265625" style="154" customWidth="1"/>
    <col min="8" max="8" width="14.81640625" style="154" customWidth="1"/>
    <col min="9" max="9" width="14.1796875" style="154" customWidth="1"/>
    <col min="10" max="10" width="15.54296875" style="154" customWidth="1"/>
    <col min="11" max="11" width="18.1796875" style="154" customWidth="1"/>
    <col min="12" max="16384" width="9.1796875" style="154"/>
  </cols>
  <sheetData>
    <row r="1" spans="1:11" ht="39" x14ac:dyDescent="0.3">
      <c r="A1" s="213" t="s">
        <v>147</v>
      </c>
      <c r="B1" s="214" t="s">
        <v>187</v>
      </c>
      <c r="C1" s="215" t="s">
        <v>186</v>
      </c>
      <c r="D1" s="213" t="s">
        <v>184</v>
      </c>
      <c r="E1" s="227" t="s">
        <v>183</v>
      </c>
      <c r="F1" s="216" t="s">
        <v>180</v>
      </c>
      <c r="G1" s="216" t="s">
        <v>178</v>
      </c>
      <c r="H1" s="217" t="s">
        <v>179</v>
      </c>
      <c r="I1" s="217" t="s">
        <v>181</v>
      </c>
      <c r="J1" s="217" t="s">
        <v>182</v>
      </c>
      <c r="K1" s="218" t="s">
        <v>185</v>
      </c>
    </row>
    <row r="2" spans="1:11" ht="14.5" x14ac:dyDescent="0.35">
      <c r="A2" s="240">
        <v>42503</v>
      </c>
      <c r="B2" s="219">
        <f>SLOPE(B9:B26,A9:A26)</f>
        <v>-2.0729346102484327E-8</v>
      </c>
      <c r="C2" s="220">
        <f>INTERCEPT(B9:B26,A9:A26)</f>
        <v>49.019922921233494</v>
      </c>
      <c r="D2" s="228">
        <f ca="1">A2-NOW()</f>
        <v>-714.57306574074028</v>
      </c>
      <c r="E2" s="229">
        <f ca="1">NOW()-MAX(A9:A26)</f>
        <v>1445.5730657407403</v>
      </c>
      <c r="F2" s="221">
        <f>COUNT(E9:E25)</f>
        <v>9</v>
      </c>
      <c r="G2" s="221">
        <f>SUMSQ(E9:E25)</f>
        <v>81167002</v>
      </c>
      <c r="H2" s="221">
        <f>SUM(E9:E26)^2</f>
        <v>467164996</v>
      </c>
      <c r="I2" s="220">
        <f>G2-(H2/F2)</f>
        <v>29259780.222222224</v>
      </c>
      <c r="J2" s="221">
        <f>AVERAGE(E9:E26)</f>
        <v>2401.5555555555557</v>
      </c>
      <c r="K2" s="222">
        <f>STEYX(B9:B26,A9:A26)</f>
        <v>1.6063643893123736E-4</v>
      </c>
    </row>
    <row r="3" spans="1:11" ht="15" thickBot="1" x14ac:dyDescent="0.4">
      <c r="A3" s="223"/>
      <c r="B3" s="224"/>
      <c r="C3" s="225" t="s">
        <v>191</v>
      </c>
      <c r="D3" s="232">
        <f ca="1">2*K2*(SQRT(1+(1/$F$2)+((((MAX(E9:E25)+E2))-$J$2)^2/$I$2)))</f>
        <v>4.2595297351092037E-4</v>
      </c>
      <c r="E3" s="207">
        <f ca="1">2*K2*(SQRT(1+(1/$F$2)+((((MAX(E9:E25)+D2+E2)-$J$2)^2/$I$2))))</f>
        <v>4.0163025729566285E-4</v>
      </c>
      <c r="F3" s="211"/>
      <c r="G3" s="226"/>
      <c r="H3" s="211"/>
      <c r="I3" s="211"/>
      <c r="J3" s="211"/>
      <c r="K3" s="212"/>
    </row>
    <row r="4" spans="1:11" ht="15" thickBot="1" x14ac:dyDescent="0.4">
      <c r="A4" s="170" t="s">
        <v>142</v>
      </c>
      <c r="B4" s="155"/>
      <c r="D4" s="230">
        <f ca="1">D3/C2*1000000</f>
        <v>8.6893848077923916</v>
      </c>
      <c r="E4" s="231">
        <f ca="1">E3/C2*1000000</f>
        <v>8.1932045862457379</v>
      </c>
      <c r="F4" s="154" t="s">
        <v>148</v>
      </c>
      <c r="G4" s="153"/>
    </row>
    <row r="5" spans="1:11" ht="13.5" thickBot="1" x14ac:dyDescent="0.35">
      <c r="G5" s="156"/>
    </row>
    <row r="6" spans="1:11" ht="14.5" x14ac:dyDescent="0.35">
      <c r="A6" s="198" t="s">
        <v>137</v>
      </c>
      <c r="B6" s="199" t="s">
        <v>143</v>
      </c>
      <c r="C6" s="199" t="s">
        <v>144</v>
      </c>
      <c r="D6" s="199" t="s">
        <v>144</v>
      </c>
      <c r="E6" s="200" t="s">
        <v>164</v>
      </c>
      <c r="F6" s="201" t="s">
        <v>188</v>
      </c>
      <c r="G6" s="201" t="s">
        <v>189</v>
      </c>
      <c r="H6" s="202" t="s">
        <v>190</v>
      </c>
    </row>
    <row r="7" spans="1:11" x14ac:dyDescent="0.3">
      <c r="A7" s="203"/>
      <c r="B7" s="204" t="s">
        <v>145</v>
      </c>
      <c r="C7" s="204" t="s">
        <v>139</v>
      </c>
      <c r="D7" s="204" t="s">
        <v>139</v>
      </c>
      <c r="E7" s="205"/>
      <c r="F7" s="206"/>
      <c r="G7" s="206"/>
      <c r="H7" s="207"/>
    </row>
    <row r="8" spans="1:11" ht="14" x14ac:dyDescent="0.3">
      <c r="A8" s="208"/>
      <c r="B8" s="209" t="s">
        <v>146</v>
      </c>
      <c r="C8" s="209" t="s">
        <v>141</v>
      </c>
      <c r="D8" s="209" t="s">
        <v>146</v>
      </c>
      <c r="E8" s="205"/>
      <c r="F8" s="209" t="s">
        <v>146</v>
      </c>
      <c r="G8" s="209" t="s">
        <v>146</v>
      </c>
      <c r="H8" s="210" t="s">
        <v>146</v>
      </c>
    </row>
    <row r="9" spans="1:11" x14ac:dyDescent="0.3">
      <c r="A9" s="237">
        <v>36466</v>
      </c>
      <c r="B9" s="243">
        <v>49.019165999999998</v>
      </c>
      <c r="C9" s="244">
        <v>16</v>
      </c>
      <c r="D9" s="245">
        <f>B9*C9/1000000</f>
        <v>7.84306656E-4</v>
      </c>
      <c r="E9" s="246">
        <f t="shared" ref="E9:E17" si="0">A9-A$9</f>
        <v>0</v>
      </c>
      <c r="F9" s="247">
        <f t="shared" ref="F9:F17" si="1">A9*$B$2+$C$2</f>
        <v>49.01916700489852</v>
      </c>
      <c r="G9" s="241">
        <f>F9+2*$K$2*(SQRT(1+(1/$F$2)+(((A9-$A$9)-$J$2)^2)/$I$2))</f>
        <v>49.019534469119066</v>
      </c>
      <c r="H9" s="248">
        <f>F9-2*$K$2*(SQRT(1+(1/$F$2)+(((A9-$A$9)-$J$2)^2)/$I$2))</f>
        <v>49.018799540677975</v>
      </c>
    </row>
    <row r="10" spans="1:11" x14ac:dyDescent="0.3">
      <c r="A10" s="237">
        <v>36839</v>
      </c>
      <c r="B10" s="243">
        <v>49.019437000000003</v>
      </c>
      <c r="C10" s="244">
        <v>16</v>
      </c>
      <c r="D10" s="245">
        <f t="shared" ref="D10:D17" si="2">B10*C10/1000000</f>
        <v>7.8431099200000002E-4</v>
      </c>
      <c r="E10" s="246">
        <f t="shared" si="0"/>
        <v>373</v>
      </c>
      <c r="F10" s="247">
        <f t="shared" si="1"/>
        <v>49.019159272852427</v>
      </c>
      <c r="G10" s="241">
        <f t="shared" ref="G10:G17" si="3">F10+2*$K$2*(SQRT(1+(1/$F$2)+(((A10-$A$9)-$J$2)^2)/$I$2))</f>
        <v>49.019518718073066</v>
      </c>
      <c r="H10" s="248">
        <f t="shared" ref="H10:H17" si="4">F10-2*$K$2*(SQRT(1+(1/$F$2)+(((A10-$A$9)-$J$2)^2)/$I$2))</f>
        <v>49.018799827631788</v>
      </c>
    </row>
    <row r="11" spans="1:11" x14ac:dyDescent="0.3">
      <c r="A11" s="237">
        <v>37207</v>
      </c>
      <c r="B11" s="243">
        <v>49.018915</v>
      </c>
      <c r="C11" s="244">
        <v>16</v>
      </c>
      <c r="D11" s="245">
        <f t="shared" si="2"/>
        <v>7.8430264E-4</v>
      </c>
      <c r="E11" s="246">
        <f t="shared" si="0"/>
        <v>741</v>
      </c>
      <c r="F11" s="247">
        <f t="shared" si="1"/>
        <v>49.019151644453061</v>
      </c>
      <c r="G11" s="241">
        <f t="shared" si="3"/>
        <v>49.019504365088913</v>
      </c>
      <c r="H11" s="248">
        <f t="shared" si="4"/>
        <v>49.018798923817208</v>
      </c>
    </row>
    <row r="12" spans="1:11" x14ac:dyDescent="0.3">
      <c r="A12" s="237">
        <v>37937</v>
      </c>
      <c r="B12" s="236">
        <v>49.019128000000002</v>
      </c>
      <c r="C12" s="244">
        <v>10</v>
      </c>
      <c r="D12" s="245">
        <f t="shared" si="2"/>
        <v>4.9019128000000003E-4</v>
      </c>
      <c r="E12" s="246">
        <f t="shared" si="0"/>
        <v>1471</v>
      </c>
      <c r="F12" s="247">
        <f t="shared" si="1"/>
        <v>49.019136512030407</v>
      </c>
      <c r="G12" s="241">
        <f t="shared" si="3"/>
        <v>49.019479643764853</v>
      </c>
      <c r="H12" s="248">
        <f t="shared" si="4"/>
        <v>49.018793380295961</v>
      </c>
    </row>
    <row r="13" spans="1:11" x14ac:dyDescent="0.3">
      <c r="A13" s="237">
        <v>38670</v>
      </c>
      <c r="B13" s="236">
        <v>49.019176000000002</v>
      </c>
      <c r="C13" s="244">
        <v>10</v>
      </c>
      <c r="D13" s="245">
        <f t="shared" si="2"/>
        <v>4.9019176000000006E-4</v>
      </c>
      <c r="E13" s="246">
        <f t="shared" si="0"/>
        <v>2204</v>
      </c>
      <c r="F13" s="247">
        <f t="shared" si="1"/>
        <v>49.01912131741971</v>
      </c>
      <c r="G13" s="241">
        <f t="shared" si="3"/>
        <v>49.019460171976654</v>
      </c>
      <c r="H13" s="248">
        <f t="shared" si="4"/>
        <v>49.018782462862767</v>
      </c>
    </row>
    <row r="14" spans="1:11" x14ac:dyDescent="0.3">
      <c r="A14" s="237">
        <v>39573</v>
      </c>
      <c r="B14" s="236">
        <v>49.018917999999999</v>
      </c>
      <c r="C14" s="244">
        <v>8</v>
      </c>
      <c r="D14" s="245">
        <f t="shared" si="2"/>
        <v>3.9215134400000001E-4</v>
      </c>
      <c r="E14" s="246">
        <f t="shared" si="0"/>
        <v>3107</v>
      </c>
      <c r="F14" s="247">
        <f t="shared" si="1"/>
        <v>49.019102598820183</v>
      </c>
      <c r="G14" s="241">
        <f t="shared" si="3"/>
        <v>49.019443832234671</v>
      </c>
      <c r="H14" s="248">
        <f t="shared" si="4"/>
        <v>49.018761365405695</v>
      </c>
    </row>
    <row r="15" spans="1:11" x14ac:dyDescent="0.3">
      <c r="A15" s="237">
        <v>40305</v>
      </c>
      <c r="B15" s="236">
        <v>49.019061000000001</v>
      </c>
      <c r="C15" s="244">
        <v>8</v>
      </c>
      <c r="D15" s="245">
        <f t="shared" si="2"/>
        <v>3.92152488E-4</v>
      </c>
      <c r="E15" s="246">
        <f t="shared" si="0"/>
        <v>3839</v>
      </c>
      <c r="F15" s="247">
        <f t="shared" si="1"/>
        <v>49.019087424938832</v>
      </c>
      <c r="G15" s="241">
        <f t="shared" si="3"/>
        <v>49.019436672113244</v>
      </c>
      <c r="H15" s="248">
        <f t="shared" si="4"/>
        <v>49.018738177764419</v>
      </c>
    </row>
    <row r="16" spans="1:11" x14ac:dyDescent="0.3">
      <c r="A16" s="237">
        <v>41039</v>
      </c>
      <c r="B16" s="236">
        <v>49.019103999999999</v>
      </c>
      <c r="C16" s="244">
        <v>8</v>
      </c>
      <c r="D16" s="245">
        <f t="shared" si="2"/>
        <v>3.9215283199999998E-4</v>
      </c>
      <c r="E16" s="246">
        <f t="shared" si="0"/>
        <v>4573</v>
      </c>
      <c r="F16" s="247">
        <f t="shared" si="1"/>
        <v>49.019072209598797</v>
      </c>
      <c r="G16" s="241">
        <f t="shared" si="3"/>
        <v>49.019434587696836</v>
      </c>
      <c r="H16" s="248">
        <f t="shared" si="4"/>
        <v>49.018709831500757</v>
      </c>
    </row>
    <row r="17" spans="1:8" x14ac:dyDescent="0.3">
      <c r="A17" s="237">
        <v>41772</v>
      </c>
      <c r="B17" s="236">
        <v>49.019150000000003</v>
      </c>
      <c r="C17" s="244">
        <v>8</v>
      </c>
      <c r="D17" s="245">
        <f t="shared" si="2"/>
        <v>3.9215320000000003E-4</v>
      </c>
      <c r="E17" s="246">
        <f t="shared" si="0"/>
        <v>5306</v>
      </c>
      <c r="F17" s="247">
        <f t="shared" si="1"/>
        <v>49.0190570149881</v>
      </c>
      <c r="G17" s="241">
        <f t="shared" si="3"/>
        <v>49.019437071167737</v>
      </c>
      <c r="H17" s="248">
        <f t="shared" si="4"/>
        <v>49.018676958808463</v>
      </c>
    </row>
    <row r="18" spans="1:8" x14ac:dyDescent="0.3">
      <c r="A18" s="237"/>
      <c r="B18" s="236"/>
      <c r="C18" s="244"/>
      <c r="D18" s="236"/>
      <c r="E18" s="249"/>
      <c r="F18" s="243"/>
      <c r="G18" s="241"/>
      <c r="H18" s="248"/>
    </row>
    <row r="19" spans="1:8" x14ac:dyDescent="0.3">
      <c r="A19" s="235"/>
      <c r="B19" s="236"/>
      <c r="C19" s="244"/>
      <c r="D19" s="241"/>
      <c r="E19" s="249"/>
      <c r="F19" s="243"/>
      <c r="G19" s="241"/>
      <c r="H19" s="248"/>
    </row>
    <row r="20" spans="1:8" x14ac:dyDescent="0.3">
      <c r="A20" s="235"/>
      <c r="B20" s="236"/>
      <c r="C20" s="244"/>
      <c r="D20" s="241"/>
      <c r="E20" s="249"/>
      <c r="F20" s="243"/>
      <c r="G20" s="241"/>
      <c r="H20" s="248"/>
    </row>
    <row r="21" spans="1:8" x14ac:dyDescent="0.3">
      <c r="A21" s="235"/>
      <c r="B21" s="236"/>
      <c r="C21" s="244"/>
      <c r="D21" s="241"/>
      <c r="E21" s="249"/>
      <c r="F21" s="243"/>
      <c r="G21" s="241"/>
      <c r="H21" s="248"/>
    </row>
    <row r="22" spans="1:8" x14ac:dyDescent="0.3">
      <c r="A22" s="235"/>
      <c r="B22" s="236"/>
      <c r="C22" s="244"/>
      <c r="D22" s="241"/>
      <c r="E22" s="249"/>
      <c r="F22" s="243"/>
      <c r="G22" s="241"/>
      <c r="H22" s="248"/>
    </row>
    <row r="23" spans="1:8" x14ac:dyDescent="0.3">
      <c r="A23" s="235"/>
      <c r="B23" s="236"/>
      <c r="C23" s="244"/>
      <c r="D23" s="241"/>
      <c r="E23" s="249"/>
      <c r="F23" s="243"/>
      <c r="G23" s="241"/>
      <c r="H23" s="248"/>
    </row>
    <row r="24" spans="1:8" x14ac:dyDescent="0.3">
      <c r="A24" s="235"/>
      <c r="B24" s="236"/>
      <c r="C24" s="241"/>
      <c r="D24" s="241"/>
      <c r="E24" s="249"/>
      <c r="F24" s="243"/>
      <c r="G24" s="241"/>
      <c r="H24" s="248"/>
    </row>
    <row r="25" spans="1:8" x14ac:dyDescent="0.3">
      <c r="A25" s="237"/>
      <c r="B25" s="236"/>
      <c r="C25" s="241"/>
      <c r="D25" s="241"/>
      <c r="E25" s="249"/>
      <c r="F25" s="243"/>
      <c r="G25" s="241"/>
      <c r="H25" s="248"/>
    </row>
    <row r="26" spans="1:8" ht="13.5" thickBot="1" x14ac:dyDescent="0.35">
      <c r="A26" s="238"/>
      <c r="B26" s="239"/>
      <c r="C26" s="242"/>
      <c r="D26" s="242"/>
      <c r="E26" s="250"/>
      <c r="F26" s="251"/>
      <c r="G26" s="242"/>
      <c r="H26" s="252"/>
    </row>
    <row r="27" spans="1:8" x14ac:dyDescent="0.3">
      <c r="A27" s="160"/>
      <c r="B27" s="161"/>
      <c r="C27" s="161"/>
      <c r="E27" s="159"/>
      <c r="F27" s="197"/>
    </row>
    <row r="28" spans="1:8" x14ac:dyDescent="0.3">
      <c r="B28" s="161"/>
      <c r="C28" s="161"/>
      <c r="F28" s="159"/>
      <c r="G28" s="158"/>
    </row>
    <row r="29" spans="1:8" x14ac:dyDescent="0.3">
      <c r="A29" s="162"/>
      <c r="B29" s="161"/>
      <c r="C29" s="161"/>
      <c r="F29" s="159"/>
      <c r="G29" s="158"/>
    </row>
    <row r="30" spans="1:8" x14ac:dyDescent="0.3">
      <c r="A30" s="162"/>
      <c r="B30" s="161"/>
      <c r="C30" s="161"/>
      <c r="F30" s="159"/>
      <c r="G30" s="158"/>
    </row>
    <row r="31" spans="1:8" x14ac:dyDescent="0.3">
      <c r="A31" s="157"/>
      <c r="B31" s="160"/>
      <c r="C31" s="160"/>
      <c r="F31" s="159"/>
      <c r="G31" s="158"/>
    </row>
    <row r="32" spans="1:8" x14ac:dyDescent="0.3">
      <c r="B32" s="160"/>
      <c r="C32" s="160"/>
      <c r="F32" s="159"/>
      <c r="G32" s="158"/>
    </row>
    <row r="33" spans="1:7" x14ac:dyDescent="0.3">
      <c r="A33" s="157"/>
      <c r="F33" s="159"/>
      <c r="G33" s="158"/>
    </row>
    <row r="34" spans="1:7" x14ac:dyDescent="0.3">
      <c r="F34" s="159"/>
      <c r="G34" s="158"/>
    </row>
    <row r="35" spans="1:7" x14ac:dyDescent="0.3">
      <c r="A35" s="157"/>
      <c r="F35" s="163"/>
      <c r="G35" s="158"/>
    </row>
    <row r="36" spans="1:7" x14ac:dyDescent="0.3">
      <c r="B36" s="160"/>
      <c r="C36" s="160"/>
      <c r="D36" s="164"/>
      <c r="E36" s="160"/>
      <c r="F36" s="163"/>
      <c r="G36" s="158"/>
    </row>
    <row r="37" spans="1:7" x14ac:dyDescent="0.3">
      <c r="A37" s="157"/>
      <c r="F37" s="163"/>
      <c r="G37" s="158"/>
    </row>
    <row r="38" spans="1:7" x14ac:dyDescent="0.3">
      <c r="A38" s="157"/>
      <c r="F38" s="163"/>
      <c r="G38" s="158"/>
    </row>
    <row r="39" spans="1:7" x14ac:dyDescent="0.3">
      <c r="A39" s="157"/>
      <c r="F39" s="163"/>
      <c r="G39" s="158"/>
    </row>
    <row r="40" spans="1:7" x14ac:dyDescent="0.3">
      <c r="A40" s="157"/>
      <c r="F40" s="163"/>
      <c r="G40" s="158"/>
    </row>
    <row r="41" spans="1:7" x14ac:dyDescent="0.3">
      <c r="A41" s="157"/>
      <c r="F41" s="163"/>
      <c r="G41" s="158"/>
    </row>
    <row r="42" spans="1:7" x14ac:dyDescent="0.3">
      <c r="A42" s="157"/>
      <c r="F42" s="163"/>
      <c r="G42" s="158"/>
    </row>
    <row r="43" spans="1:7" x14ac:dyDescent="0.3">
      <c r="A43" s="157"/>
      <c r="F43" s="163"/>
      <c r="G43" s="158"/>
    </row>
    <row r="44" spans="1:7" x14ac:dyDescent="0.3">
      <c r="A44" s="157"/>
      <c r="F44" s="163"/>
      <c r="G44" s="158"/>
    </row>
    <row r="45" spans="1:7" x14ac:dyDescent="0.3">
      <c r="A45" s="157"/>
      <c r="F45" s="158"/>
      <c r="G45" s="158"/>
    </row>
    <row r="46" spans="1:7" x14ac:dyDescent="0.3">
      <c r="A46" s="157"/>
    </row>
    <row r="47" spans="1:7" x14ac:dyDescent="0.3">
      <c r="A47" s="157"/>
    </row>
    <row r="48" spans="1:7" x14ac:dyDescent="0.3">
      <c r="A48" s="157"/>
    </row>
    <row r="49" spans="1:1" x14ac:dyDescent="0.3">
      <c r="A49" s="157"/>
    </row>
    <row r="50" spans="1:1" x14ac:dyDescent="0.3">
      <c r="A50" s="157"/>
    </row>
  </sheetData>
  <sheetProtection password="C6CA" sheet="1" objects="1" scenarios="1"/>
  <pageMargins left="0.7" right="0.7" top="0.75" bottom="0.75" header="0.3" footer="0.3"/>
  <pageSetup scale="48" orientation="portrait" r:id="rId1"/>
  <colBreaks count="1" manualBreakCount="1">
    <brk id="8" max="49" man="1"/>
  </colBreaks>
  <ignoredErrors>
    <ignoredError sqref="D9:H17"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zoomScaleNormal="100" workbookViewId="0">
      <selection activeCell="E19" sqref="E19"/>
    </sheetView>
  </sheetViews>
  <sheetFormatPr defaultColWidth="9.1796875" defaultRowHeight="13" x14ac:dyDescent="0.3"/>
  <cols>
    <col min="1" max="1" width="15.7265625" style="154" bestFit="1" customWidth="1"/>
    <col min="2" max="2" width="12.54296875" style="154" bestFit="1" customWidth="1"/>
    <col min="3" max="3" width="16.453125" style="154" bestFit="1" customWidth="1"/>
    <col min="4" max="5" width="11.54296875" style="154" bestFit="1" customWidth="1"/>
    <col min="6" max="6" width="10.7265625" style="154" bestFit="1" customWidth="1"/>
    <col min="7" max="7" width="13.7265625" style="154" customWidth="1"/>
    <col min="8" max="8" width="14.81640625" style="154" customWidth="1"/>
    <col min="9" max="9" width="14.1796875" style="154" customWidth="1"/>
    <col min="10" max="10" width="15.54296875" style="154" customWidth="1"/>
    <col min="11" max="11" width="18.1796875" style="154" customWidth="1"/>
    <col min="12" max="16384" width="9.1796875" style="154"/>
  </cols>
  <sheetData>
    <row r="1" spans="1:11" ht="39" x14ac:dyDescent="0.3">
      <c r="A1" s="213" t="s">
        <v>147</v>
      </c>
      <c r="B1" s="214" t="s">
        <v>193</v>
      </c>
      <c r="C1" s="215" t="s">
        <v>186</v>
      </c>
      <c r="D1" s="213" t="s">
        <v>184</v>
      </c>
      <c r="E1" s="227" t="s">
        <v>183</v>
      </c>
      <c r="F1" s="216" t="s">
        <v>180</v>
      </c>
      <c r="G1" s="216" t="s">
        <v>178</v>
      </c>
      <c r="H1" s="217" t="s">
        <v>179</v>
      </c>
      <c r="I1" s="217" t="s">
        <v>181</v>
      </c>
      <c r="J1" s="217" t="s">
        <v>182</v>
      </c>
      <c r="K1" s="218" t="s">
        <v>185</v>
      </c>
    </row>
    <row r="2" spans="1:11" ht="14.5" x14ac:dyDescent="0.35">
      <c r="A2" s="240">
        <v>42503</v>
      </c>
      <c r="B2" s="219">
        <f>SLOPE(B9:B26,A9:A26)</f>
        <v>-2.3822226261084053E-6</v>
      </c>
      <c r="C2" s="220">
        <f>INTERCEPT(B9:B26,A9:A26)</f>
        <v>200.08078384389302</v>
      </c>
      <c r="D2" s="228">
        <f ca="1">A2-NOW()</f>
        <v>-714.57306574074028</v>
      </c>
      <c r="E2" s="229">
        <f ca="1">NOW()-MAX(A9:A26)</f>
        <v>1445.5730657407403</v>
      </c>
      <c r="F2" s="221">
        <f>COUNT(E9:E25)</f>
        <v>12</v>
      </c>
      <c r="G2" s="221">
        <f>SUMSQ(E9:E25)</f>
        <v>108738399</v>
      </c>
      <c r="H2" s="221">
        <f>SUM(E9:E26)^2</f>
        <v>912583681</v>
      </c>
      <c r="I2" s="220">
        <f>G2-(H2/F2)</f>
        <v>32689758.916666672</v>
      </c>
      <c r="J2" s="221">
        <f>AVERAGE(E9:E26)</f>
        <v>2517.4166666666665</v>
      </c>
      <c r="K2" s="222">
        <f>STEYX(B9:B26,A9:A26)</f>
        <v>1.6626120087957369E-3</v>
      </c>
    </row>
    <row r="3" spans="1:11" ht="15" thickBot="1" x14ac:dyDescent="0.4">
      <c r="A3" s="223"/>
      <c r="B3" s="224"/>
      <c r="C3" s="225" t="s">
        <v>191</v>
      </c>
      <c r="D3" s="232">
        <f ca="1">2*K2*(SQRT(1+(1/$F$2)+((((MAX(E9:E25)+E2))-$J$2)^2/$I$2)))</f>
        <v>4.2476589555120979E-3</v>
      </c>
      <c r="E3" s="207">
        <f ca="1">2*K2*(SQRT(1+(1/$F$2)+((((MAX(E9:E25)+D2+E2)-$J$2)^2/$I$2))))</f>
        <v>4.0210107328329985E-3</v>
      </c>
      <c r="F3" s="211"/>
      <c r="G3" s="226"/>
      <c r="H3" s="211"/>
      <c r="I3" s="211"/>
      <c r="J3" s="211"/>
      <c r="K3" s="212"/>
    </row>
    <row r="4" spans="1:11" ht="15" thickBot="1" x14ac:dyDescent="0.4">
      <c r="A4" s="170" t="s">
        <v>142</v>
      </c>
      <c r="B4" s="155"/>
      <c r="D4" s="230">
        <f ca="1">D3/C2*1000000</f>
        <v>21.229719685755555</v>
      </c>
      <c r="E4" s="231">
        <f ca="1">E3/C2*1000000</f>
        <v>20.096936125411574</v>
      </c>
      <c r="F4" s="154" t="s">
        <v>148</v>
      </c>
      <c r="G4" s="153"/>
    </row>
    <row r="5" spans="1:11" ht="13.5" thickBot="1" x14ac:dyDescent="0.35">
      <c r="G5" s="156"/>
    </row>
    <row r="6" spans="1:11" ht="14.5" x14ac:dyDescent="0.35">
      <c r="A6" s="198" t="s">
        <v>137</v>
      </c>
      <c r="B6" s="199" t="s">
        <v>143</v>
      </c>
      <c r="C6" s="199"/>
      <c r="D6" s="199" t="s">
        <v>138</v>
      </c>
      <c r="E6" s="200" t="s">
        <v>164</v>
      </c>
      <c r="F6" s="201" t="s">
        <v>188</v>
      </c>
      <c r="G6" s="201" t="s">
        <v>189</v>
      </c>
      <c r="H6" s="202" t="s">
        <v>190</v>
      </c>
    </row>
    <row r="7" spans="1:11" x14ac:dyDescent="0.3">
      <c r="A7" s="203"/>
      <c r="B7" s="204" t="s">
        <v>145</v>
      </c>
      <c r="C7" s="204"/>
      <c r="D7" s="204" t="s">
        <v>139</v>
      </c>
      <c r="E7" s="205"/>
      <c r="F7" s="206"/>
      <c r="G7" s="206"/>
      <c r="H7" s="207"/>
    </row>
    <row r="8" spans="1:11" x14ac:dyDescent="0.3">
      <c r="A8" s="208"/>
      <c r="B8" s="209" t="s">
        <v>192</v>
      </c>
      <c r="C8" s="209"/>
      <c r="D8" s="209" t="s">
        <v>192</v>
      </c>
      <c r="E8" s="205"/>
      <c r="F8" s="209" t="s">
        <v>192</v>
      </c>
      <c r="G8" s="209" t="s">
        <v>192</v>
      </c>
      <c r="H8" s="210" t="s">
        <v>140</v>
      </c>
    </row>
    <row r="9" spans="1:11" x14ac:dyDescent="0.3">
      <c r="A9" s="233">
        <v>36466</v>
      </c>
      <c r="B9" s="234">
        <v>199.99719999999999</v>
      </c>
      <c r="C9" s="244"/>
      <c r="D9" s="234">
        <v>3.0000000000000001E-3</v>
      </c>
      <c r="E9" s="246">
        <f t="shared" ref="E9:E17" si="0">A9-A$9</f>
        <v>0</v>
      </c>
      <c r="F9" s="247">
        <f t="shared" ref="F9:F17" si="1">A9*$B$2+$C$2</f>
        <v>199.99391371360934</v>
      </c>
      <c r="G9" s="241">
        <f>F9+2*$K$2*(SQRT(1+(1/$F$2)+(((A9-$A$9)-$J$2)^2)/$I$2))</f>
        <v>199.99767165506799</v>
      </c>
      <c r="H9" s="248">
        <f>F9-2*$K$2*(SQRT(1+(1/$F$2)+(((A9-$A$9)-$J$2)^2)/$I$2))</f>
        <v>199.9901557721507</v>
      </c>
    </row>
    <row r="10" spans="1:11" x14ac:dyDescent="0.3">
      <c r="A10" s="233">
        <v>36839</v>
      </c>
      <c r="B10" s="234">
        <v>199.994</v>
      </c>
      <c r="C10" s="244"/>
      <c r="D10" s="234">
        <v>3.0000000000000001E-3</v>
      </c>
      <c r="E10" s="246">
        <f t="shared" si="0"/>
        <v>373</v>
      </c>
      <c r="F10" s="247">
        <f t="shared" si="1"/>
        <v>199.9930251445698</v>
      </c>
      <c r="G10" s="241">
        <f t="shared" ref="G10:G17" si="2">F10+2*$K$2*(SQRT(1+(1/$F$2)+(((A10-$A$9)-$J$2)^2)/$I$2))</f>
        <v>199.99670399816171</v>
      </c>
      <c r="H10" s="248">
        <f t="shared" ref="H10:H17" si="3">F10-2*$K$2*(SQRT(1+(1/$F$2)+(((A10-$A$9)-$J$2)^2)/$I$2))</f>
        <v>199.98934629097789</v>
      </c>
    </row>
    <row r="11" spans="1:11" x14ac:dyDescent="0.3">
      <c r="A11" s="233">
        <v>37207</v>
      </c>
      <c r="B11" s="234">
        <v>199.99189999999999</v>
      </c>
      <c r="C11" s="244"/>
      <c r="D11" s="234">
        <v>3.0000000000000001E-3</v>
      </c>
      <c r="E11" s="246">
        <f t="shared" si="0"/>
        <v>741</v>
      </c>
      <c r="F11" s="247">
        <f t="shared" si="1"/>
        <v>199.9921484866434</v>
      </c>
      <c r="G11" s="241">
        <f t="shared" si="2"/>
        <v>199.99576040064568</v>
      </c>
      <c r="H11" s="248">
        <f t="shared" si="3"/>
        <v>199.98853657264112</v>
      </c>
    </row>
    <row r="12" spans="1:11" x14ac:dyDescent="0.3">
      <c r="A12" s="233">
        <v>37937</v>
      </c>
      <c r="B12" s="234">
        <v>199.989</v>
      </c>
      <c r="C12" s="244"/>
      <c r="D12" s="234">
        <v>3.0000000000000001E-3</v>
      </c>
      <c r="E12" s="246">
        <f t="shared" si="0"/>
        <v>1471</v>
      </c>
      <c r="F12" s="247">
        <f t="shared" si="1"/>
        <v>199.99040946412634</v>
      </c>
      <c r="G12" s="241">
        <f t="shared" si="2"/>
        <v>199.99392356629664</v>
      </c>
      <c r="H12" s="248">
        <f t="shared" si="3"/>
        <v>199.98689536195604</v>
      </c>
    </row>
    <row r="13" spans="1:11" x14ac:dyDescent="0.3">
      <c r="A13" s="233">
        <v>38296</v>
      </c>
      <c r="B13" s="234">
        <v>199.98759999999999</v>
      </c>
      <c r="C13" s="244"/>
      <c r="D13" s="234">
        <v>3.0000000000000001E-3</v>
      </c>
      <c r="E13" s="246">
        <f t="shared" si="0"/>
        <v>1830</v>
      </c>
      <c r="F13" s="247">
        <f t="shared" si="1"/>
        <v>199.98955424620357</v>
      </c>
      <c r="G13" s="241">
        <f t="shared" si="2"/>
        <v>199.99303826333656</v>
      </c>
      <c r="H13" s="248">
        <f t="shared" si="3"/>
        <v>199.98607022907058</v>
      </c>
    </row>
    <row r="14" spans="1:11" x14ac:dyDescent="0.3">
      <c r="A14" s="233">
        <v>38670</v>
      </c>
      <c r="B14" s="234">
        <v>199.98740000000001</v>
      </c>
      <c r="C14" s="244"/>
      <c r="D14" s="234">
        <v>3.0000000000000001E-3</v>
      </c>
      <c r="E14" s="246">
        <f t="shared" si="0"/>
        <v>2204</v>
      </c>
      <c r="F14" s="247">
        <f t="shared" si="1"/>
        <v>199.9886632949414</v>
      </c>
      <c r="G14" s="241">
        <f t="shared" si="2"/>
        <v>199.99212909451842</v>
      </c>
      <c r="H14" s="248">
        <f t="shared" si="3"/>
        <v>199.98519749536439</v>
      </c>
    </row>
    <row r="15" spans="1:11" x14ac:dyDescent="0.3">
      <c r="A15" s="233">
        <v>39030</v>
      </c>
      <c r="B15" s="234">
        <v>199.98699999999999</v>
      </c>
      <c r="C15" s="244"/>
      <c r="D15" s="234">
        <v>3.0000000000000001E-3</v>
      </c>
      <c r="E15" s="246">
        <f t="shared" si="0"/>
        <v>2564</v>
      </c>
      <c r="F15" s="247">
        <f t="shared" si="1"/>
        <v>199.98780569479601</v>
      </c>
      <c r="G15" s="241">
        <f t="shared" si="2"/>
        <v>199.99126680372083</v>
      </c>
      <c r="H15" s="248">
        <f t="shared" si="3"/>
        <v>199.98434458587118</v>
      </c>
    </row>
    <row r="16" spans="1:11" x14ac:dyDescent="0.3">
      <c r="A16" s="233">
        <v>39573</v>
      </c>
      <c r="B16" s="234">
        <v>199.9853</v>
      </c>
      <c r="C16" s="244"/>
      <c r="D16" s="234">
        <v>3.0000000000000001E-3</v>
      </c>
      <c r="E16" s="246">
        <f t="shared" si="0"/>
        <v>3107</v>
      </c>
      <c r="F16" s="247">
        <f t="shared" si="1"/>
        <v>199.98651214791002</v>
      </c>
      <c r="G16" s="241">
        <f t="shared" si="2"/>
        <v>199.98999009521972</v>
      </c>
      <c r="H16" s="248">
        <f t="shared" si="3"/>
        <v>199.98303420060031</v>
      </c>
    </row>
    <row r="17" spans="1:8" x14ac:dyDescent="0.3">
      <c r="A17" s="233">
        <v>40305</v>
      </c>
      <c r="B17" s="234">
        <v>199.98400000000001</v>
      </c>
      <c r="C17" s="244"/>
      <c r="D17" s="234">
        <v>3.0000000000000001E-3</v>
      </c>
      <c r="E17" s="246">
        <f t="shared" si="0"/>
        <v>3839</v>
      </c>
      <c r="F17" s="247">
        <f t="shared" si="1"/>
        <v>199.98476836094773</v>
      </c>
      <c r="G17" s="241">
        <f t="shared" si="2"/>
        <v>199.9883136835069</v>
      </c>
      <c r="H17" s="248">
        <f t="shared" si="3"/>
        <v>199.98122303838855</v>
      </c>
    </row>
    <row r="18" spans="1:8" x14ac:dyDescent="0.3">
      <c r="A18" s="233">
        <v>40667</v>
      </c>
      <c r="B18" s="234">
        <v>199.98429999999999</v>
      </c>
      <c r="C18" s="244"/>
      <c r="D18" s="234">
        <v>3.0000000000000001E-3</v>
      </c>
      <c r="E18" s="246">
        <f t="shared" ref="E18:E20" si="4">A18-A$9</f>
        <v>4201</v>
      </c>
      <c r="F18" s="247">
        <f t="shared" ref="F18:F20" si="5">A18*$B$2+$C$2</f>
        <v>199.98390599635707</v>
      </c>
      <c r="G18" s="241">
        <f t="shared" ref="G18:G20" si="6">F18+2*$K$2*(SQRT(1+(1/$F$2)+(((A18-$A$9)-$J$2)^2)/$I$2))</f>
        <v>199.98750283909203</v>
      </c>
      <c r="H18" s="248">
        <f t="shared" ref="H18:H20" si="7">F18-2*$K$2*(SQRT(1+(1/$F$2)+(((A18-$A$9)-$J$2)^2)/$I$2))</f>
        <v>199.9803091536221</v>
      </c>
    </row>
    <row r="19" spans="1:8" x14ac:dyDescent="0.3">
      <c r="A19" s="233">
        <v>41039</v>
      </c>
      <c r="B19" s="234">
        <v>199.9838</v>
      </c>
      <c r="C19" s="244"/>
      <c r="D19" s="234">
        <v>3.0000000000000001E-3</v>
      </c>
      <c r="E19" s="246">
        <f t="shared" si="4"/>
        <v>4573</v>
      </c>
      <c r="F19" s="247">
        <f t="shared" si="5"/>
        <v>199.98301980954017</v>
      </c>
      <c r="G19" s="241">
        <f t="shared" si="6"/>
        <v>199.98668147103663</v>
      </c>
      <c r="H19" s="248">
        <f t="shared" si="7"/>
        <v>199.9793581480437</v>
      </c>
    </row>
    <row r="20" spans="1:8" x14ac:dyDescent="0.3">
      <c r="A20" s="233">
        <v>41772</v>
      </c>
      <c r="B20" s="234">
        <v>199.98349999999999</v>
      </c>
      <c r="C20" s="244"/>
      <c r="D20" s="234">
        <v>3.0000000000000001E-3</v>
      </c>
      <c r="E20" s="246">
        <f t="shared" si="4"/>
        <v>5306</v>
      </c>
      <c r="F20" s="247">
        <f t="shared" si="5"/>
        <v>199.98127364035523</v>
      </c>
      <c r="G20" s="241">
        <f t="shared" si="6"/>
        <v>199.98509578542925</v>
      </c>
      <c r="H20" s="248">
        <f t="shared" si="7"/>
        <v>199.9774514952812</v>
      </c>
    </row>
    <row r="21" spans="1:8" x14ac:dyDescent="0.3">
      <c r="A21" s="235"/>
      <c r="B21" s="236"/>
      <c r="C21" s="244"/>
      <c r="D21" s="241"/>
      <c r="E21" s="249"/>
      <c r="F21" s="243"/>
      <c r="G21" s="241"/>
      <c r="H21" s="248"/>
    </row>
    <row r="22" spans="1:8" x14ac:dyDescent="0.3">
      <c r="A22" s="235"/>
      <c r="B22" s="236"/>
      <c r="C22" s="244"/>
      <c r="D22" s="241"/>
      <c r="E22" s="249"/>
      <c r="F22" s="243"/>
      <c r="G22" s="241"/>
      <c r="H22" s="248"/>
    </row>
    <row r="23" spans="1:8" x14ac:dyDescent="0.3">
      <c r="A23" s="235"/>
      <c r="B23" s="236"/>
      <c r="C23" s="244"/>
      <c r="D23" s="241"/>
      <c r="E23" s="249"/>
      <c r="F23" s="243"/>
      <c r="G23" s="241"/>
      <c r="H23" s="248"/>
    </row>
    <row r="24" spans="1:8" x14ac:dyDescent="0.3">
      <c r="A24" s="235"/>
      <c r="B24" s="236"/>
      <c r="C24" s="241"/>
      <c r="D24" s="241"/>
      <c r="E24" s="249"/>
      <c r="F24" s="243"/>
      <c r="G24" s="241"/>
      <c r="H24" s="248"/>
    </row>
    <row r="25" spans="1:8" x14ac:dyDescent="0.3">
      <c r="A25" s="237"/>
      <c r="B25" s="236"/>
      <c r="C25" s="241"/>
      <c r="D25" s="241"/>
      <c r="E25" s="249"/>
      <c r="F25" s="243"/>
      <c r="G25" s="241"/>
      <c r="H25" s="248"/>
    </row>
    <row r="26" spans="1:8" ht="13.5" thickBot="1" x14ac:dyDescent="0.35">
      <c r="A26" s="238"/>
      <c r="B26" s="239"/>
      <c r="C26" s="242"/>
      <c r="D26" s="242"/>
      <c r="E26" s="250"/>
      <c r="F26" s="251"/>
      <c r="G26" s="242"/>
      <c r="H26" s="252"/>
    </row>
    <row r="27" spans="1:8" x14ac:dyDescent="0.3">
      <c r="A27" s="160"/>
      <c r="B27" s="161"/>
      <c r="C27" s="161"/>
      <c r="E27" s="159"/>
      <c r="F27" s="197"/>
    </row>
    <row r="28" spans="1:8" x14ac:dyDescent="0.3">
      <c r="B28" s="161"/>
      <c r="C28" s="161"/>
      <c r="F28" s="159"/>
      <c r="G28" s="158"/>
    </row>
    <row r="29" spans="1:8" x14ac:dyDescent="0.3">
      <c r="A29" s="162"/>
      <c r="B29" s="161"/>
      <c r="C29" s="161"/>
      <c r="F29" s="159"/>
      <c r="G29" s="158"/>
    </row>
    <row r="30" spans="1:8" x14ac:dyDescent="0.3">
      <c r="A30" s="162"/>
      <c r="B30" s="161"/>
      <c r="C30" s="161"/>
      <c r="F30" s="159"/>
      <c r="G30" s="158"/>
    </row>
    <row r="31" spans="1:8" x14ac:dyDescent="0.3">
      <c r="A31" s="157"/>
      <c r="B31" s="160"/>
      <c r="C31" s="160"/>
      <c r="F31" s="159"/>
      <c r="G31" s="158"/>
    </row>
    <row r="32" spans="1:8" x14ac:dyDescent="0.3">
      <c r="B32" s="160"/>
      <c r="C32" s="160"/>
      <c r="F32" s="159"/>
      <c r="G32" s="158"/>
    </row>
    <row r="33" spans="1:7" x14ac:dyDescent="0.3">
      <c r="A33" s="157"/>
      <c r="F33" s="159"/>
      <c r="G33" s="158"/>
    </row>
    <row r="34" spans="1:7" x14ac:dyDescent="0.3">
      <c r="F34" s="159"/>
      <c r="G34" s="158"/>
    </row>
    <row r="35" spans="1:7" x14ac:dyDescent="0.3">
      <c r="A35" s="157"/>
      <c r="F35" s="163"/>
      <c r="G35" s="158"/>
    </row>
    <row r="36" spans="1:7" x14ac:dyDescent="0.3">
      <c r="B36" s="160"/>
      <c r="C36" s="160"/>
      <c r="D36" s="164"/>
      <c r="E36" s="160"/>
      <c r="F36" s="163"/>
      <c r="G36" s="158"/>
    </row>
    <row r="37" spans="1:7" x14ac:dyDescent="0.3">
      <c r="A37" s="157"/>
      <c r="F37" s="163"/>
      <c r="G37" s="158"/>
    </row>
    <row r="38" spans="1:7" x14ac:dyDescent="0.3">
      <c r="A38" s="157"/>
      <c r="F38" s="163"/>
      <c r="G38" s="158"/>
    </row>
    <row r="39" spans="1:7" x14ac:dyDescent="0.3">
      <c r="A39" s="157"/>
      <c r="F39" s="163"/>
      <c r="G39" s="158"/>
    </row>
    <row r="40" spans="1:7" x14ac:dyDescent="0.3">
      <c r="A40" s="157"/>
      <c r="F40" s="163"/>
      <c r="G40" s="158"/>
    </row>
    <row r="41" spans="1:7" x14ac:dyDescent="0.3">
      <c r="A41" s="157"/>
      <c r="F41" s="163"/>
      <c r="G41" s="158"/>
    </row>
    <row r="42" spans="1:7" x14ac:dyDescent="0.3">
      <c r="A42" s="157"/>
      <c r="F42" s="163"/>
      <c r="G42" s="158"/>
    </row>
    <row r="43" spans="1:7" x14ac:dyDescent="0.3">
      <c r="A43" s="157"/>
      <c r="F43" s="163"/>
      <c r="G43" s="158"/>
    </row>
    <row r="44" spans="1:7" x14ac:dyDescent="0.3">
      <c r="A44" s="157"/>
      <c r="F44" s="163"/>
      <c r="G44" s="158"/>
    </row>
    <row r="45" spans="1:7" x14ac:dyDescent="0.3">
      <c r="A45" s="157"/>
      <c r="F45" s="158"/>
      <c r="G45" s="158"/>
    </row>
    <row r="46" spans="1:7" x14ac:dyDescent="0.3">
      <c r="A46" s="157"/>
    </row>
    <row r="47" spans="1:7" x14ac:dyDescent="0.3">
      <c r="A47" s="157"/>
    </row>
    <row r="48" spans="1:7" x14ac:dyDescent="0.3">
      <c r="A48" s="157"/>
    </row>
    <row r="49" spans="1:1" x14ac:dyDescent="0.3">
      <c r="A49" s="157"/>
    </row>
    <row r="50" spans="1:1" x14ac:dyDescent="0.3">
      <c r="A50" s="157"/>
    </row>
  </sheetData>
  <sheetProtection password="C6CA" sheet="1" objects="1" scenarios="1"/>
  <pageMargins left="0.7" right="0.7" top="0.75" bottom="0.75" header="0.3" footer="0.3"/>
  <pageSetup scale="48" orientation="portrait" r:id="rId1"/>
  <colBreaks count="1" manualBreakCount="1">
    <brk id="8" max="49" man="1"/>
  </colBreaks>
  <ignoredErrors>
    <ignoredError sqref="E9:H20"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workbookViewId="0">
      <selection sqref="A1:E1"/>
    </sheetView>
  </sheetViews>
  <sheetFormatPr defaultRowHeight="14.5" x14ac:dyDescent="0.35"/>
  <cols>
    <col min="1" max="1" width="24.26953125" customWidth="1"/>
    <col min="2" max="2" width="15.7265625" customWidth="1"/>
    <col min="3" max="3" width="134.1796875" customWidth="1"/>
    <col min="4" max="4" width="16.54296875" customWidth="1"/>
    <col min="5" max="5" width="15" customWidth="1"/>
  </cols>
  <sheetData>
    <row r="1" spans="1:5" ht="23.5" thickBot="1" x14ac:dyDescent="0.55000000000000004">
      <c r="A1" s="282" t="s">
        <v>162</v>
      </c>
      <c r="B1" s="283"/>
      <c r="C1" s="283"/>
      <c r="D1" s="283"/>
      <c r="E1" s="284"/>
    </row>
    <row r="2" spans="1:5" ht="23" x14ac:dyDescent="0.5">
      <c r="A2" s="171"/>
      <c r="B2" s="172"/>
      <c r="C2" s="172"/>
      <c r="D2" s="172"/>
      <c r="E2" s="172"/>
    </row>
    <row r="3" spans="1:5" ht="17.5" x14ac:dyDescent="0.35">
      <c r="A3" s="173" t="s">
        <v>155</v>
      </c>
      <c r="B3" s="174" t="s">
        <v>137</v>
      </c>
      <c r="C3" s="175" t="s">
        <v>156</v>
      </c>
      <c r="D3" s="174" t="s">
        <v>157</v>
      </c>
      <c r="E3" s="174" t="s">
        <v>158</v>
      </c>
    </row>
    <row r="4" spans="1:5" ht="15.5" x14ac:dyDescent="0.35">
      <c r="A4" s="176">
        <v>1</v>
      </c>
      <c r="B4" s="177">
        <v>20151006</v>
      </c>
      <c r="C4" s="178" t="s">
        <v>159</v>
      </c>
      <c r="D4" s="179" t="s">
        <v>163</v>
      </c>
      <c r="E4" s="179" t="s">
        <v>160</v>
      </c>
    </row>
    <row r="5" spans="1:5" ht="15.5" x14ac:dyDescent="0.35">
      <c r="A5" s="180"/>
      <c r="B5" s="181"/>
      <c r="C5" s="181"/>
      <c r="D5" s="181"/>
      <c r="E5" s="181"/>
    </row>
    <row r="6" spans="1:5" ht="15.5" x14ac:dyDescent="0.35">
      <c r="A6" s="176"/>
      <c r="B6" s="182"/>
      <c r="C6" s="179"/>
      <c r="D6" s="179"/>
      <c r="E6" s="179"/>
    </row>
    <row r="7" spans="1:5" ht="15.5" x14ac:dyDescent="0.35">
      <c r="A7" s="180"/>
      <c r="B7" s="181"/>
      <c r="C7" s="181"/>
      <c r="D7" s="181"/>
      <c r="E7" s="181"/>
    </row>
    <row r="8" spans="1:5" ht="15.5" x14ac:dyDescent="0.35">
      <c r="A8" s="176"/>
      <c r="B8" s="182"/>
      <c r="C8" s="179"/>
      <c r="D8" s="179"/>
      <c r="E8" s="179"/>
    </row>
    <row r="9" spans="1:5" ht="15.5" x14ac:dyDescent="0.35">
      <c r="A9" s="180"/>
      <c r="B9" s="181"/>
      <c r="C9" s="181"/>
      <c r="D9" s="181"/>
      <c r="E9" s="181"/>
    </row>
    <row r="10" spans="1:5" ht="15.5" x14ac:dyDescent="0.35">
      <c r="A10" s="176"/>
      <c r="B10" s="182"/>
      <c r="C10" s="179"/>
      <c r="D10" s="179"/>
      <c r="E10" s="179"/>
    </row>
    <row r="11" spans="1:5" ht="15.5" x14ac:dyDescent="0.35">
      <c r="A11" s="180"/>
      <c r="B11" s="181"/>
      <c r="C11" s="181"/>
      <c r="D11" s="181"/>
      <c r="E11" s="181"/>
    </row>
    <row r="12" spans="1:5" ht="15.5" x14ac:dyDescent="0.35">
      <c r="A12" s="176"/>
      <c r="B12" s="179"/>
      <c r="C12" s="179"/>
      <c r="D12" s="179"/>
      <c r="E12" s="179"/>
    </row>
    <row r="13" spans="1:5" ht="15.5" x14ac:dyDescent="0.35">
      <c r="A13" s="176"/>
      <c r="B13" s="179"/>
      <c r="C13" s="179"/>
      <c r="D13" s="179"/>
      <c r="E13" s="179"/>
    </row>
    <row r="14" spans="1:5" ht="15.5" x14ac:dyDescent="0.35">
      <c r="A14" s="176"/>
      <c r="B14" s="179"/>
      <c r="C14" s="179" t="s">
        <v>161</v>
      </c>
      <c r="D14" s="179"/>
      <c r="E14" s="179"/>
    </row>
    <row r="15" spans="1:5" ht="15.5" x14ac:dyDescent="0.35">
      <c r="A15" s="176"/>
      <c r="B15" s="179"/>
      <c r="C15" s="179"/>
      <c r="D15" s="179"/>
      <c r="E15" s="179"/>
    </row>
    <row r="16" spans="1:5" ht="15.5" x14ac:dyDescent="0.35">
      <c r="A16" s="176"/>
      <c r="B16" s="179"/>
      <c r="C16" s="179"/>
      <c r="D16" s="179"/>
      <c r="E16" s="179"/>
    </row>
    <row r="17" spans="1:5" ht="15.5" x14ac:dyDescent="0.35">
      <c r="A17" s="176"/>
      <c r="B17" s="179"/>
      <c r="C17" s="179"/>
      <c r="D17" s="179"/>
      <c r="E17" s="179"/>
    </row>
    <row r="18" spans="1:5" ht="15.5" x14ac:dyDescent="0.35">
      <c r="A18" s="176"/>
      <c r="B18" s="179"/>
      <c r="C18" s="179"/>
      <c r="D18" s="179"/>
      <c r="E18" s="179"/>
    </row>
    <row r="19" spans="1:5" ht="15.5" x14ac:dyDescent="0.35">
      <c r="A19" s="176"/>
      <c r="B19" s="179"/>
      <c r="C19" s="179"/>
      <c r="D19" s="179"/>
      <c r="E19" s="179"/>
    </row>
    <row r="20" spans="1:5" ht="15.5" x14ac:dyDescent="0.35">
      <c r="A20" s="176"/>
      <c r="B20" s="182"/>
      <c r="C20" s="179"/>
      <c r="D20" s="179"/>
      <c r="E20" s="179"/>
    </row>
    <row r="21" spans="1:5" ht="15.5" x14ac:dyDescent="0.35">
      <c r="A21" s="176"/>
      <c r="B21" s="179"/>
      <c r="C21" s="179"/>
      <c r="D21" s="179"/>
      <c r="E21" s="179"/>
    </row>
    <row r="22" spans="1:5" ht="15.5" x14ac:dyDescent="0.35">
      <c r="A22" s="176"/>
      <c r="B22" s="179"/>
      <c r="C22" s="179"/>
      <c r="D22" s="179"/>
      <c r="E22" s="179"/>
    </row>
    <row r="23" spans="1:5" ht="15.5" x14ac:dyDescent="0.35">
      <c r="A23" s="176"/>
      <c r="B23" s="179"/>
      <c r="C23" s="179"/>
      <c r="D23" s="179"/>
      <c r="E23" s="179"/>
    </row>
    <row r="24" spans="1:5" ht="15.5" x14ac:dyDescent="0.35">
      <c r="A24" s="176"/>
      <c r="B24" s="179"/>
      <c r="C24" s="179"/>
      <c r="D24" s="179"/>
      <c r="E24" s="179"/>
    </row>
    <row r="25" spans="1:5" ht="15.5" x14ac:dyDescent="0.35">
      <c r="A25" s="176"/>
      <c r="B25" s="179"/>
      <c r="C25" s="179"/>
      <c r="D25" s="179"/>
      <c r="E25" s="179"/>
    </row>
    <row r="26" spans="1:5" ht="15.5" x14ac:dyDescent="0.35">
      <c r="A26" s="176"/>
      <c r="B26" s="179"/>
      <c r="C26" s="179"/>
      <c r="D26" s="179"/>
      <c r="E26" s="179"/>
    </row>
    <row r="27" spans="1:5" ht="15.5" x14ac:dyDescent="0.35">
      <c r="A27" s="176"/>
      <c r="B27" s="179"/>
      <c r="C27" s="179"/>
      <c r="D27" s="179"/>
      <c r="E27" s="179"/>
    </row>
    <row r="28" spans="1:5" ht="15.5" x14ac:dyDescent="0.35">
      <c r="A28" s="176"/>
      <c r="B28" s="179"/>
      <c r="C28" s="179"/>
      <c r="D28" s="179"/>
      <c r="E28" s="179"/>
    </row>
    <row r="29" spans="1:5" ht="15.5" x14ac:dyDescent="0.35">
      <c r="A29" s="176"/>
      <c r="B29" s="179"/>
      <c r="C29" s="179"/>
      <c r="D29" s="179"/>
      <c r="E29" s="179"/>
    </row>
    <row r="30" spans="1:5" ht="15.5" x14ac:dyDescent="0.35">
      <c r="A30" s="176"/>
      <c r="B30" s="179"/>
      <c r="C30" s="179"/>
      <c r="D30" s="179"/>
      <c r="E30" s="179"/>
    </row>
    <row r="31" spans="1:5" ht="15.5" x14ac:dyDescent="0.35">
      <c r="A31" s="176"/>
      <c r="B31" s="179"/>
      <c r="C31" s="179"/>
      <c r="D31" s="179"/>
      <c r="E31" s="179"/>
    </row>
    <row r="32" spans="1:5" ht="15.5" x14ac:dyDescent="0.35">
      <c r="A32" s="176"/>
      <c r="B32" s="179"/>
      <c r="C32" s="179"/>
      <c r="D32" s="179"/>
      <c r="E32" s="179"/>
    </row>
    <row r="33" spans="1:5" ht="15.5" x14ac:dyDescent="0.35">
      <c r="A33" s="176"/>
      <c r="B33" s="179"/>
      <c r="C33" s="179"/>
      <c r="D33" s="179"/>
      <c r="E33" s="179"/>
    </row>
    <row r="34" spans="1:5" ht="15.5" x14ac:dyDescent="0.35">
      <c r="A34" s="176"/>
      <c r="B34" s="179"/>
      <c r="C34" s="179"/>
      <c r="D34" s="179"/>
      <c r="E34" s="183"/>
    </row>
    <row r="35" spans="1:5" ht="15.5" x14ac:dyDescent="0.35">
      <c r="A35" s="176"/>
      <c r="B35" s="179"/>
      <c r="C35" s="179"/>
      <c r="D35" s="179"/>
      <c r="E35" s="183"/>
    </row>
    <row r="36" spans="1:5" ht="15.5" x14ac:dyDescent="0.35">
      <c r="A36" s="176"/>
      <c r="B36" s="179"/>
      <c r="C36" s="179"/>
      <c r="D36" s="179"/>
      <c r="E36" s="183"/>
    </row>
    <row r="37" spans="1:5" ht="15.5" x14ac:dyDescent="0.35">
      <c r="A37" s="176"/>
      <c r="B37" s="179"/>
      <c r="C37" s="179"/>
      <c r="D37" s="179"/>
      <c r="E37" s="183"/>
    </row>
    <row r="38" spans="1:5" ht="15.5" x14ac:dyDescent="0.35">
      <c r="A38" s="176"/>
      <c r="B38" s="179"/>
      <c r="C38" s="179"/>
      <c r="D38" s="179"/>
      <c r="E38" s="183"/>
    </row>
    <row r="39" spans="1:5" ht="15.5" x14ac:dyDescent="0.35">
      <c r="A39" s="176"/>
      <c r="B39" s="179"/>
      <c r="C39" s="179"/>
      <c r="D39" s="179"/>
      <c r="E39" s="183"/>
    </row>
    <row r="40" spans="1:5" ht="15.5" x14ac:dyDescent="0.35">
      <c r="A40" s="176"/>
      <c r="B40" s="179"/>
      <c r="C40" s="179"/>
      <c r="D40" s="179"/>
      <c r="E40" s="183"/>
    </row>
    <row r="41" spans="1:5" ht="15.5" x14ac:dyDescent="0.35">
      <c r="A41" s="176"/>
      <c r="B41" s="179"/>
      <c r="C41" s="179"/>
      <c r="D41" s="179"/>
      <c r="E41" s="183"/>
    </row>
    <row r="42" spans="1:5" ht="15.5" x14ac:dyDescent="0.35">
      <c r="A42" s="176"/>
      <c r="B42" s="179"/>
      <c r="C42" s="179"/>
      <c r="D42" s="179"/>
      <c r="E42" s="183"/>
    </row>
    <row r="43" spans="1:5" ht="15.5" x14ac:dyDescent="0.35">
      <c r="A43" s="176"/>
      <c r="B43" s="179"/>
      <c r="C43" s="179"/>
      <c r="D43" s="179"/>
      <c r="E43" s="183"/>
    </row>
    <row r="44" spans="1:5" ht="15.5" x14ac:dyDescent="0.35">
      <c r="A44" s="176"/>
      <c r="B44" s="179"/>
      <c r="C44" s="179"/>
      <c r="D44" s="179"/>
      <c r="E44" s="183"/>
    </row>
    <row r="45" spans="1:5" ht="15.5" x14ac:dyDescent="0.35">
      <c r="A45" s="176"/>
      <c r="B45" s="179"/>
      <c r="C45" s="179"/>
      <c r="D45" s="179"/>
      <c r="E45" s="183"/>
    </row>
    <row r="46" spans="1:5" ht="15.5" x14ac:dyDescent="0.35">
      <c r="A46" s="176"/>
      <c r="B46" s="179"/>
      <c r="C46" s="179"/>
      <c r="D46" s="179"/>
      <c r="E46" s="183"/>
    </row>
    <row r="47" spans="1:5" ht="15.5" x14ac:dyDescent="0.35">
      <c r="A47" s="176"/>
      <c r="B47" s="179"/>
      <c r="C47" s="179"/>
      <c r="D47" s="179"/>
      <c r="E47" s="183"/>
    </row>
    <row r="48" spans="1:5" ht="15.5" x14ac:dyDescent="0.35">
      <c r="A48" s="176"/>
      <c r="B48" s="179"/>
      <c r="C48" s="179"/>
      <c r="D48" s="179"/>
      <c r="E48" s="183"/>
    </row>
    <row r="49" spans="1:5" ht="15.5" x14ac:dyDescent="0.35">
      <c r="A49" s="176"/>
      <c r="B49" s="179"/>
      <c r="C49" s="179"/>
      <c r="D49" s="179"/>
      <c r="E49" s="183"/>
    </row>
    <row r="50" spans="1:5" ht="16" thickBot="1" x14ac:dyDescent="0.4">
      <c r="A50" s="184"/>
      <c r="B50" s="185"/>
      <c r="C50" s="185"/>
      <c r="D50" s="185"/>
      <c r="E50" s="185"/>
    </row>
  </sheetData>
  <mergeCells count="1">
    <mergeCell ref="A1:E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Unccalc1</vt:lpstr>
      <vt:lpstr>Unccalc2</vt:lpstr>
      <vt:lpstr>Unccalc3</vt:lpstr>
      <vt:lpstr>Historical_Ae</vt:lpstr>
      <vt:lpstr>Historical_PCmass</vt:lpstr>
      <vt:lpstr>Revision</vt:lpstr>
      <vt:lpstr>Historical_Ae!Print_Area</vt:lpstr>
      <vt:lpstr>Historical_PCmass!Print_Area</vt:lpstr>
    </vt:vector>
  </TitlesOfParts>
  <Company>DanaherTM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Bair</dc:creator>
  <cp:lastModifiedBy>Kyle Clark</cp:lastModifiedBy>
  <cp:lastPrinted>2015-10-02T21:33:26Z</cp:lastPrinted>
  <dcterms:created xsi:type="dcterms:W3CDTF">2015-09-30T16:36:20Z</dcterms:created>
  <dcterms:modified xsi:type="dcterms:W3CDTF">2018-04-27T20:45:12Z</dcterms:modified>
</cp:coreProperties>
</file>